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y.frangeul\Desktop\"/>
    </mc:Choice>
  </mc:AlternateContent>
  <xr:revisionPtr revIDLastSave="0" documentId="13_ncr:1_{68B4365D-85EB-45BA-91CB-BA3F8AA3078C}" xr6:coauthVersionLast="47" xr6:coauthVersionMax="47" xr10:uidLastSave="{00000000-0000-0000-0000-000000000000}"/>
  <bookViews>
    <workbookView xWindow="28680" yWindow="-120" windowWidth="29040" windowHeight="17520" tabRatio="709" xr2:uid="{00000000-000D-0000-FFFF-FFFF00000000}"/>
  </bookViews>
  <sheets>
    <sheet name="RAPRES 2025" sheetId="16" r:id="rId1"/>
    <sheet name="Exemples intallations&lt;=&gt;Catégo." sheetId="15" r:id="rId2"/>
    <sheet name="Durée d'utilisation" sheetId="9" r:id="rId3"/>
    <sheet name="Classe d'état" sheetId="7" r:id="rId4"/>
    <sheet name="RAPRES 2024" sheetId="14" r:id="rId5"/>
    <sheet name="RAPRES 2023" sheetId="13" r:id="rId6"/>
    <sheet name="RAPRES 2022" sheetId="12" r:id="rId7"/>
    <sheet name="RAPRES 2021" sheetId="11" r:id="rId8"/>
    <sheet name="RAPRES 2020" sheetId="10" r:id="rId9"/>
    <sheet name="RAPRES 2019" sheetId="1" r:id="rId10"/>
    <sheet name="RAPRES 2018" sheetId="2" r:id="rId11"/>
    <sheet name="RAPRES 2017" sheetId="4" r:id="rId12"/>
    <sheet name="RAPRES 2016" sheetId="3" r:id="rId13"/>
    <sheet name="RAPRES 2015" sheetId="5" r:id="rId14"/>
    <sheet name="RAPRES 2014" sheetId="8" r:id="rId15"/>
  </sheets>
  <definedNames>
    <definedName name="_xlnm._FilterDatabase" localSheetId="7" hidden="1">'RAPRES 2021'!$A$2:$BW$23</definedName>
    <definedName name="_xlnm._FilterDatabase" localSheetId="6" hidden="1">'RAPRES 2022'!$A$2:$Z$23</definedName>
    <definedName name="_xlnm._FilterDatabase" localSheetId="5" hidden="1">'RAPRES 2023'!$A$2:$D$23</definedName>
    <definedName name="_xlnm.Print_Titles" localSheetId="8">'RAPRES 2020'!$A:$D</definedName>
    <definedName name="_xlnm.Print_Titles" localSheetId="7">'RAPRES 2021'!$A:$D</definedName>
    <definedName name="_xlnm.Print_Area" localSheetId="8">'RAPRES 2020'!$A$1:$BL$32</definedName>
    <definedName name="_xlnm.Print_Area" localSheetId="7">'RAPRES 2021'!$A$1:$BW$32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2" i="16" l="1"/>
  <c r="R19" i="16"/>
  <c r="R17" i="16"/>
  <c r="R9" i="16"/>
  <c r="R6" i="16"/>
  <c r="R3" i="16"/>
  <c r="R21" i="16"/>
  <c r="R15" i="16"/>
  <c r="R13" i="16"/>
  <c r="R8" i="16"/>
  <c r="R18" i="16"/>
  <c r="R12" i="16"/>
  <c r="R4" i="16"/>
  <c r="R20" i="16"/>
  <c r="R16" i="16"/>
  <c r="R14" i="16"/>
  <c r="R10" i="16"/>
  <c r="R7" i="16"/>
  <c r="U22" i="16"/>
  <c r="S22" i="16"/>
  <c r="U23" i="16"/>
  <c r="T23" i="16"/>
  <c r="R23" i="16"/>
  <c r="M23" i="16"/>
  <c r="S23" i="16"/>
  <c r="R22" i="14"/>
  <c r="R21" i="14"/>
  <c r="R20" i="14"/>
  <c r="R19" i="14"/>
  <c r="R18" i="14"/>
  <c r="R17" i="14"/>
  <c r="R15" i="14"/>
  <c r="R13" i="14"/>
  <c r="R12" i="14"/>
  <c r="R9" i="14"/>
  <c r="R6" i="14"/>
  <c r="R5" i="14"/>
  <c r="R4" i="14"/>
  <c r="R3" i="14"/>
  <c r="V5" i="16" l="1"/>
  <c r="V6" i="16"/>
  <c r="V17" i="16"/>
  <c r="V4" i="16"/>
  <c r="V16" i="16"/>
  <c r="V18" i="16"/>
  <c r="V8" i="16"/>
  <c r="V10" i="16"/>
  <c r="V13" i="16"/>
  <c r="V20" i="16"/>
  <c r="V22" i="16"/>
  <c r="G23" i="16"/>
  <c r="V14" i="16"/>
  <c r="V9" i="16"/>
  <c r="V12" i="16"/>
  <c r="V15" i="16"/>
  <c r="V21" i="16"/>
  <c r="V7" i="16"/>
  <c r="V19" i="16"/>
  <c r="V11" i="16"/>
  <c r="H23" i="16"/>
  <c r="V3" i="16"/>
  <c r="S22" i="14"/>
  <c r="S23" i="14" s="1"/>
  <c r="U23" i="14"/>
  <c r="T23" i="14"/>
  <c r="R23" i="14"/>
  <c r="M23" i="14"/>
  <c r="H23" i="14"/>
  <c r="V22" i="14"/>
  <c r="V21" i="14"/>
  <c r="V20" i="14"/>
  <c r="V19" i="14"/>
  <c r="V18" i="14"/>
  <c r="V17" i="14"/>
  <c r="V16" i="14"/>
  <c r="V15" i="14"/>
  <c r="V14" i="14"/>
  <c r="V13" i="14"/>
  <c r="V12" i="14"/>
  <c r="V11" i="14"/>
  <c r="V10" i="14"/>
  <c r="G23" i="14"/>
  <c r="V9" i="14"/>
  <c r="V8" i="14"/>
  <c r="V7" i="14"/>
  <c r="V6" i="14"/>
  <c r="V5" i="14"/>
  <c r="V4" i="14"/>
  <c r="V3" i="14"/>
  <c r="G10" i="13"/>
  <c r="U23" i="13"/>
  <c r="T23" i="13"/>
  <c r="S23" i="13"/>
  <c r="M23" i="13"/>
  <c r="H23" i="13"/>
  <c r="G23" i="13"/>
  <c r="V22" i="13"/>
  <c r="V21" i="13"/>
  <c r="V20" i="13"/>
  <c r="V19" i="13"/>
  <c r="V18" i="13"/>
  <c r="V17" i="13"/>
  <c r="V16" i="13"/>
  <c r="V15" i="13"/>
  <c r="V14" i="13"/>
  <c r="V13" i="13"/>
  <c r="V12" i="13"/>
  <c r="V11" i="13"/>
  <c r="V10" i="13"/>
  <c r="V9" i="13"/>
  <c r="V8" i="13"/>
  <c r="V7" i="13"/>
  <c r="V6" i="13"/>
  <c r="V5" i="13"/>
  <c r="V4" i="13"/>
  <c r="V3" i="13"/>
  <c r="R23" i="13"/>
  <c r="U22" i="12"/>
  <c r="R22" i="12"/>
  <c r="V3" i="12"/>
  <c r="R4" i="12"/>
  <c r="R19" i="12" l="1"/>
  <c r="R7" i="12"/>
  <c r="R6" i="12"/>
  <c r="R5" i="12"/>
  <c r="R20" i="12"/>
  <c r="R18" i="12"/>
  <c r="R17" i="12"/>
  <c r="R15" i="12"/>
  <c r="R14" i="12"/>
  <c r="R13" i="12"/>
  <c r="R12" i="12"/>
  <c r="R9" i="12"/>
  <c r="R3" i="12"/>
  <c r="U23" i="12" l="1"/>
  <c r="M23" i="12" l="1"/>
  <c r="H23" i="12"/>
  <c r="G23" i="12"/>
  <c r="V22" i="12"/>
  <c r="V21" i="12"/>
  <c r="V20" i="12"/>
  <c r="V19" i="12"/>
  <c r="V18" i="12"/>
  <c r="V17" i="12"/>
  <c r="V16" i="12"/>
  <c r="V15" i="12"/>
  <c r="V14" i="12"/>
  <c r="V13" i="12"/>
  <c r="V12" i="12"/>
  <c r="V11" i="12"/>
  <c r="V10" i="12"/>
  <c r="V9" i="12"/>
  <c r="V8" i="12"/>
  <c r="V7" i="12"/>
  <c r="V6" i="12"/>
  <c r="V5" i="12"/>
  <c r="V4" i="12"/>
  <c r="BS4" i="11"/>
  <c r="BS5" i="11"/>
  <c r="BS6" i="11"/>
  <c r="BS7" i="11"/>
  <c r="BS8" i="11"/>
  <c r="BS9" i="11"/>
  <c r="BS10" i="11"/>
  <c r="BS11" i="11"/>
  <c r="BS12" i="11"/>
  <c r="BS13" i="11"/>
  <c r="BS14" i="11"/>
  <c r="BS15" i="11"/>
  <c r="BS16" i="11"/>
  <c r="BS17" i="11"/>
  <c r="BS18" i="11"/>
  <c r="BS19" i="11"/>
  <c r="BS20" i="11"/>
  <c r="BS21" i="11"/>
  <c r="BS22" i="11"/>
  <c r="BK6" i="11" l="1"/>
  <c r="T22" i="11"/>
  <c r="T21" i="11"/>
  <c r="T20" i="11"/>
  <c r="T18" i="11"/>
  <c r="T16" i="11"/>
  <c r="T14" i="11"/>
  <c r="T11" i="11"/>
  <c r="T10" i="11"/>
  <c r="T7" i="11"/>
  <c r="T5" i="11"/>
  <c r="T4" i="11"/>
  <c r="AU3" i="11"/>
  <c r="AU4" i="11"/>
  <c r="AU5" i="11"/>
  <c r="AU6" i="11"/>
  <c r="AU9" i="11"/>
  <c r="AU10" i="11"/>
  <c r="AU11" i="11"/>
  <c r="AU12" i="11"/>
  <c r="AU13" i="11"/>
  <c r="AU16" i="11"/>
  <c r="AU17" i="11"/>
  <c r="AU18" i="11"/>
  <c r="AU19" i="11"/>
  <c r="AU20" i="11"/>
  <c r="AU21" i="11"/>
  <c r="AU22" i="11"/>
  <c r="R23" i="12" l="1"/>
  <c r="BG15" i="11"/>
  <c r="T23" i="12" l="1"/>
  <c r="S23" i="12"/>
  <c r="R22" i="11"/>
  <c r="R6" i="11"/>
  <c r="R18" i="11" l="1"/>
  <c r="R16" i="11"/>
  <c r="R10" i="11"/>
  <c r="R7" i="11"/>
  <c r="R20" i="11"/>
  <c r="R14" i="11"/>
  <c r="R5" i="11"/>
  <c r="R4" i="11"/>
  <c r="R3" i="11"/>
  <c r="BH6" i="11" l="1"/>
  <c r="AH23" i="11"/>
  <c r="AT22" i="11"/>
  <c r="AT4" i="11"/>
  <c r="AT6" i="11"/>
  <c r="AT5" i="11"/>
  <c r="AT3" i="11"/>
  <c r="S22" i="11"/>
  <c r="S6" i="11"/>
  <c r="S5" i="11"/>
  <c r="S4" i="11"/>
  <c r="S3" i="11"/>
  <c r="BF14" i="11" l="1"/>
  <c r="AU14" i="11" s="1"/>
  <c r="BF8" i="11"/>
  <c r="AU8" i="11" s="1"/>
  <c r="BF7" i="11"/>
  <c r="AU7" i="11" s="1"/>
  <c r="AF15" i="11"/>
  <c r="AF12" i="11"/>
  <c r="AF8" i="11"/>
  <c r="T8" i="11" s="1"/>
  <c r="BK3" i="11" l="1"/>
  <c r="BH3" i="11" s="1"/>
  <c r="BM23" i="11"/>
  <c r="AS23" i="11" l="1"/>
  <c r="AT21" i="11"/>
  <c r="AT20" i="11"/>
  <c r="AT18" i="11"/>
  <c r="AT13" i="11"/>
  <c r="AT7" i="11"/>
  <c r="S20" i="11" l="1"/>
  <c r="AT16" i="11"/>
  <c r="AT19" i="11"/>
  <c r="AT8" i="11"/>
  <c r="AT9" i="11"/>
  <c r="AT10" i="11"/>
  <c r="AT11" i="11"/>
  <c r="AT17" i="11"/>
  <c r="AT12" i="11"/>
  <c r="S21" i="11"/>
  <c r="BB15" i="11"/>
  <c r="AU15" i="11" s="1"/>
  <c r="BB23" i="11" l="1"/>
  <c r="AC13" i="11"/>
  <c r="T13" i="11" s="1"/>
  <c r="AC9" i="11"/>
  <c r="AC15" i="11"/>
  <c r="T15" i="11" s="1"/>
  <c r="AC3" i="11"/>
  <c r="T3" i="11" s="1"/>
  <c r="AC19" i="11"/>
  <c r="T19" i="11" s="1"/>
  <c r="S19" i="11" s="1"/>
  <c r="AC17" i="11"/>
  <c r="T17" i="11" s="1"/>
  <c r="AC6" i="11"/>
  <c r="T6" i="11" s="1"/>
  <c r="T9" i="11" l="1"/>
  <c r="S8" i="11" s="1"/>
  <c r="AU23" i="11"/>
  <c r="AT15" i="11"/>
  <c r="AT14" i="11"/>
  <c r="S15" i="11"/>
  <c r="S14" i="11"/>
  <c r="S17" i="11"/>
  <c r="S16" i="11"/>
  <c r="S18" i="11"/>
  <c r="AB12" i="11"/>
  <c r="S7" i="11" l="1"/>
  <c r="S9" i="11"/>
  <c r="T12" i="11"/>
  <c r="S13" i="11" s="1"/>
  <c r="AT23" i="11"/>
  <c r="AL22" i="11"/>
  <c r="AD25" i="11"/>
  <c r="U25" i="11"/>
  <c r="AZ23" i="11"/>
  <c r="BB25" i="11"/>
  <c r="BG25" i="11"/>
  <c r="BE23" i="11"/>
  <c r="S11" i="11" l="1"/>
  <c r="S10" i="11"/>
  <c r="T23" i="11"/>
  <c r="S12" i="11"/>
  <c r="T25" i="11"/>
  <c r="AU25" i="11"/>
  <c r="BK15" i="11"/>
  <c r="BH15" i="11" s="1"/>
  <c r="S23" i="11" l="1"/>
  <c r="Z23" i="11"/>
  <c r="AK5" i="11" l="1"/>
  <c r="AK3" i="11"/>
  <c r="AK4" i="11"/>
  <c r="AK6" i="11"/>
  <c r="AK7" i="11"/>
  <c r="AK8" i="11"/>
  <c r="AK9" i="11"/>
  <c r="AK10" i="11"/>
  <c r="AK11" i="11"/>
  <c r="AK12" i="11"/>
  <c r="AK13" i="11"/>
  <c r="AK14" i="11"/>
  <c r="AK15" i="11"/>
  <c r="AK16" i="11"/>
  <c r="AK17" i="11"/>
  <c r="AK18" i="11"/>
  <c r="AK19" i="11"/>
  <c r="AK20" i="11"/>
  <c r="AK21" i="11"/>
  <c r="AK22" i="11"/>
  <c r="BR23" i="11"/>
  <c r="BQ23" i="11"/>
  <c r="BP23" i="11"/>
  <c r="BO23" i="11"/>
  <c r="BN23" i="11"/>
  <c r="BL23" i="11"/>
  <c r="BG23" i="11"/>
  <c r="BD23" i="11"/>
  <c r="BC23" i="11"/>
  <c r="BA23" i="11"/>
  <c r="AY23" i="11"/>
  <c r="AX23" i="11"/>
  <c r="AW23" i="11"/>
  <c r="AV23" i="11"/>
  <c r="AR23" i="11"/>
  <c r="AQ23" i="11"/>
  <c r="AP23" i="11"/>
  <c r="AO23" i="11"/>
  <c r="AN23" i="11"/>
  <c r="AM23" i="11"/>
  <c r="AG23" i="11"/>
  <c r="AF23" i="11"/>
  <c r="AE23" i="11"/>
  <c r="AD23" i="11"/>
  <c r="AC23" i="11"/>
  <c r="AB23" i="11"/>
  <c r="AA23" i="11"/>
  <c r="Y23" i="11"/>
  <c r="X23" i="11"/>
  <c r="W23" i="11"/>
  <c r="V23" i="11"/>
  <c r="M23" i="11"/>
  <c r="H23" i="11"/>
  <c r="BK22" i="11"/>
  <c r="BH22" i="11" s="1"/>
  <c r="BK21" i="11"/>
  <c r="BH21" i="11" s="1"/>
  <c r="BK20" i="11"/>
  <c r="BH20" i="11" s="1"/>
  <c r="BK19" i="11"/>
  <c r="BH19" i="11" s="1"/>
  <c r="BK18" i="11"/>
  <c r="BH18" i="11" s="1"/>
  <c r="BK17" i="11"/>
  <c r="BH17" i="11" s="1"/>
  <c r="BK16" i="11"/>
  <c r="BH16" i="11" s="1"/>
  <c r="BF23" i="11"/>
  <c r="BK14" i="11"/>
  <c r="BH14" i="11" s="1"/>
  <c r="BK13" i="11"/>
  <c r="BH13" i="11" s="1"/>
  <c r="BK12" i="11"/>
  <c r="BH12" i="11" s="1"/>
  <c r="BK11" i="11"/>
  <c r="BH11" i="11" s="1"/>
  <c r="G23" i="11"/>
  <c r="BK10" i="11"/>
  <c r="BH10" i="11" s="1"/>
  <c r="BK9" i="11"/>
  <c r="BH9" i="11" s="1"/>
  <c r="BK8" i="11"/>
  <c r="BH8" i="11" s="1"/>
  <c r="BK7" i="11"/>
  <c r="BH7" i="11" s="1"/>
  <c r="AL23" i="11"/>
  <c r="BK5" i="11"/>
  <c r="BH5" i="11" s="1"/>
  <c r="BK4" i="11"/>
  <c r="BH4" i="11" s="1"/>
  <c r="U23" i="11"/>
  <c r="BH23" i="11" l="1"/>
  <c r="BK23" i="11"/>
  <c r="AK23" i="11"/>
  <c r="BI22" i="11" l="1"/>
  <c r="BJ22" i="11" s="1"/>
  <c r="BI18" i="11"/>
  <c r="BJ18" i="11" s="1"/>
  <c r="AI19" i="11"/>
  <c r="AJ19" i="11" s="1"/>
  <c r="AI7" i="11"/>
  <c r="AJ7" i="11" s="1"/>
  <c r="AI4" i="11"/>
  <c r="AJ4" i="11" s="1"/>
  <c r="AI10" i="11"/>
  <c r="AJ10" i="11" s="1"/>
  <c r="AI12" i="11"/>
  <c r="AJ12" i="11" s="1"/>
  <c r="AI5" i="11"/>
  <c r="AJ5" i="11" s="1"/>
  <c r="AI3" i="11"/>
  <c r="AJ3" i="11" s="1"/>
  <c r="AI13" i="11"/>
  <c r="AJ13" i="11" s="1"/>
  <c r="AI22" i="11"/>
  <c r="AJ22" i="11" s="1"/>
  <c r="AI16" i="11"/>
  <c r="AJ16" i="11" s="1"/>
  <c r="AI20" i="11"/>
  <c r="AJ20" i="11" s="1"/>
  <c r="AI9" i="11"/>
  <c r="AJ9" i="11" s="1"/>
  <c r="AI18" i="11"/>
  <c r="AJ18" i="11" s="1"/>
  <c r="AI6" i="11"/>
  <c r="AJ6" i="11" s="1"/>
  <c r="AI17" i="11"/>
  <c r="AJ17" i="11" s="1"/>
  <c r="AI15" i="11"/>
  <c r="AJ15" i="11" s="1"/>
  <c r="AI14" i="11"/>
  <c r="AJ14" i="11" s="1"/>
  <c r="AI8" i="11"/>
  <c r="AJ8" i="11" s="1"/>
  <c r="AI11" i="11"/>
  <c r="AJ11" i="11" s="1"/>
  <c r="AI21" i="11"/>
  <c r="AJ21" i="11" s="1"/>
  <c r="BI21" i="11"/>
  <c r="BJ21" i="11" s="1"/>
  <c r="BI20" i="11"/>
  <c r="BJ20" i="11" s="1"/>
  <c r="BI16" i="11"/>
  <c r="BJ16" i="11" s="1"/>
  <c r="BI8" i="11"/>
  <c r="BJ8" i="11" s="1"/>
  <c r="BI15" i="11"/>
  <c r="BJ15" i="11" s="1"/>
  <c r="BI7" i="11"/>
  <c r="BJ7" i="11" s="1"/>
  <c r="BI19" i="11"/>
  <c r="BJ19" i="11" s="1"/>
  <c r="BI10" i="11"/>
  <c r="BJ10" i="11" s="1"/>
  <c r="BI9" i="11"/>
  <c r="BJ9" i="11" s="1"/>
  <c r="BI14" i="11"/>
  <c r="BJ14" i="11" s="1"/>
  <c r="BI6" i="11"/>
  <c r="BJ6" i="11" s="1"/>
  <c r="BI11" i="11"/>
  <c r="BJ11" i="11" s="1"/>
  <c r="BI3" i="11"/>
  <c r="BJ3" i="11" s="1"/>
  <c r="BI17" i="11"/>
  <c r="BJ17" i="11" s="1"/>
  <c r="BI13" i="11"/>
  <c r="BJ13" i="11" s="1"/>
  <c r="BI5" i="11"/>
  <c r="BJ5" i="11" s="1"/>
  <c r="BI12" i="11"/>
  <c r="BJ12" i="11" s="1"/>
  <c r="BI4" i="11"/>
  <c r="BJ4" i="11" s="1"/>
  <c r="R23" i="11"/>
  <c r="M23" i="10"/>
  <c r="H23" i="10"/>
  <c r="AJ23" i="11" l="1"/>
  <c r="BJ23" i="11"/>
  <c r="AX15" i="10"/>
  <c r="AC18" i="10"/>
  <c r="AC15" i="10" l="1"/>
  <c r="AZ23" i="10" l="1"/>
  <c r="AE22" i="10"/>
  <c r="AE23" i="10" s="1"/>
  <c r="AH23" i="10" l="1"/>
  <c r="AW23" i="10" l="1"/>
  <c r="AB23" i="10"/>
  <c r="T23" i="10"/>
  <c r="AF12" i="10" l="1"/>
  <c r="AF11" i="10"/>
  <c r="G11" i="10"/>
  <c r="G12" i="10"/>
  <c r="AS23" i="10"/>
  <c r="X23" i="10"/>
  <c r="BC23" i="10" l="1"/>
  <c r="BD23" i="10"/>
  <c r="AI23" i="10"/>
  <c r="AJ23" i="10"/>
  <c r="BF23" i="10"/>
  <c r="AL23" i="10"/>
  <c r="AR23" i="10"/>
  <c r="AQ23" i="10"/>
  <c r="AP23" i="10"/>
  <c r="AT23" i="10"/>
  <c r="AV23" i="10"/>
  <c r="S17" i="10"/>
  <c r="V23" i="10" l="1"/>
  <c r="W23" i="10"/>
  <c r="U23" i="10"/>
  <c r="BA4" i="10" l="1"/>
  <c r="BA5" i="10"/>
  <c r="BA6" i="10"/>
  <c r="BA7" i="10"/>
  <c r="BA8" i="10"/>
  <c r="BA9" i="10"/>
  <c r="BA10" i="10"/>
  <c r="BA11" i="10"/>
  <c r="BA12" i="10"/>
  <c r="BA13" i="10"/>
  <c r="BA14" i="10"/>
  <c r="BA15" i="10"/>
  <c r="BA16" i="10"/>
  <c r="BA17" i="10"/>
  <c r="BA18" i="10"/>
  <c r="BA19" i="10"/>
  <c r="BA20" i="10"/>
  <c r="BA21" i="10"/>
  <c r="BA22" i="10"/>
  <c r="BA3" i="10"/>
  <c r="AN6" i="10"/>
  <c r="AN9" i="10"/>
  <c r="AN13" i="10"/>
  <c r="AN14" i="10"/>
  <c r="AN15" i="10"/>
  <c r="AN17" i="10"/>
  <c r="AN19" i="10"/>
  <c r="AN22" i="10"/>
  <c r="AN3" i="10"/>
  <c r="G11" i="1"/>
  <c r="AG6" i="10" l="1"/>
  <c r="S4" i="10" l="1"/>
  <c r="S15" i="10"/>
  <c r="S6" i="10"/>
  <c r="R4" i="10" l="1"/>
  <c r="R5" i="10"/>
  <c r="R6" i="10"/>
  <c r="R7" i="10"/>
  <c r="R8" i="10"/>
  <c r="R9" i="10"/>
  <c r="R10" i="10"/>
  <c r="R11" i="10"/>
  <c r="R12" i="10"/>
  <c r="R13" i="10"/>
  <c r="R14" i="10"/>
  <c r="R15" i="10"/>
  <c r="R16" i="10"/>
  <c r="R17" i="10"/>
  <c r="R18" i="10"/>
  <c r="R19" i="10"/>
  <c r="R20" i="10"/>
  <c r="R21" i="10"/>
  <c r="R22" i="10"/>
  <c r="R3" i="10"/>
  <c r="BE23" i="10" l="1"/>
  <c r="BG23" i="10"/>
  <c r="BB23" i="10"/>
  <c r="AK23" i="10"/>
  <c r="AM23" i="10"/>
  <c r="AG23" i="10"/>
  <c r="AF4" i="10"/>
  <c r="AF6" i="10"/>
  <c r="AF7" i="10"/>
  <c r="AF8" i="10"/>
  <c r="AF9" i="10"/>
  <c r="AF10" i="10"/>
  <c r="AF13" i="10"/>
  <c r="AF14" i="10"/>
  <c r="AF15" i="10"/>
  <c r="AF16" i="10"/>
  <c r="AF17" i="10"/>
  <c r="AF18" i="10"/>
  <c r="AF19" i="10"/>
  <c r="AF20" i="10"/>
  <c r="AF21" i="10"/>
  <c r="AF22" i="10"/>
  <c r="AF3" i="10"/>
  <c r="R3" i="1"/>
  <c r="AC23" i="10" l="1"/>
  <c r="AA23" i="10"/>
  <c r="Z23" i="10"/>
  <c r="Y23" i="10"/>
  <c r="AX23" i="10"/>
  <c r="G23" i="10"/>
  <c r="AD23" i="10"/>
  <c r="AF23" i="10"/>
  <c r="BA23" i="10"/>
  <c r="AO23" i="10"/>
  <c r="S23" i="10"/>
  <c r="R23" i="10"/>
  <c r="AU4" i="10" l="1"/>
  <c r="AU18" i="10"/>
  <c r="AN18" i="10" s="1"/>
  <c r="AU11" i="10"/>
  <c r="AN11" i="10" s="1"/>
  <c r="AU5" i="10"/>
  <c r="AN5" i="10" s="1"/>
  <c r="AU20" i="10"/>
  <c r="AN20" i="10" s="1"/>
  <c r="AU10" i="10"/>
  <c r="AN10" i="10" s="1"/>
  <c r="AU16" i="10"/>
  <c r="AN16" i="10" s="1"/>
  <c r="AU7" i="10"/>
  <c r="AN7" i="10" s="1"/>
  <c r="AU21" i="10"/>
  <c r="AN21" i="10" s="1"/>
  <c r="AU8" i="10"/>
  <c r="AN8" i="10" s="1"/>
  <c r="AU12" i="10"/>
  <c r="AN12" i="10" s="1"/>
  <c r="AY23" i="10"/>
  <c r="AF19" i="1"/>
  <c r="AF18" i="1" s="1"/>
  <c r="AG6" i="1"/>
  <c r="AU23" i="10" l="1"/>
  <c r="AN4" i="10"/>
  <c r="AN23" i="10" s="1"/>
  <c r="Z4" i="1"/>
  <c r="AF16" i="1"/>
  <c r="AA6" i="1"/>
  <c r="AA21" i="1" s="1"/>
  <c r="AB21" i="1"/>
  <c r="AD21" i="1"/>
  <c r="AG21" i="1"/>
  <c r="Z5" i="1"/>
  <c r="Z9" i="1"/>
  <c r="Z11" i="1"/>
  <c r="Z17" i="1"/>
  <c r="Z18" i="1"/>
  <c r="Z19" i="1"/>
  <c r="Z20" i="1"/>
  <c r="R8" i="1"/>
  <c r="R7" i="1"/>
  <c r="X16" i="1"/>
  <c r="R16" i="1" s="1"/>
  <c r="R10" i="1"/>
  <c r="R11" i="1"/>
  <c r="R12" i="1"/>
  <c r="R13" i="1"/>
  <c r="R14" i="1"/>
  <c r="R15" i="1"/>
  <c r="R17" i="1"/>
  <c r="R18" i="1"/>
  <c r="R19" i="1"/>
  <c r="R20" i="1"/>
  <c r="X9" i="1"/>
  <c r="R9" i="1" s="1"/>
  <c r="S6" i="1"/>
  <c r="R6" i="1" s="1"/>
  <c r="S5" i="1"/>
  <c r="R5" i="1" s="1"/>
  <c r="S4" i="1"/>
  <c r="R4" i="1" s="1"/>
  <c r="T21" i="1"/>
  <c r="U21" i="1"/>
  <c r="V21" i="1"/>
  <c r="W21" i="1"/>
  <c r="S21" i="1" l="1"/>
  <c r="AF21" i="1"/>
  <c r="Z6" i="1"/>
  <c r="X21" i="1"/>
  <c r="AE13" i="1" l="1"/>
  <c r="AE21" i="1" s="1"/>
  <c r="AC15" i="1" l="1"/>
  <c r="Z15" i="1" s="1"/>
  <c r="AC14" i="1"/>
  <c r="Z14" i="1" s="1"/>
  <c r="AC13" i="1"/>
  <c r="Z13" i="1" s="1"/>
  <c r="AC12" i="1"/>
  <c r="Z12" i="1" s="1"/>
  <c r="AC10" i="1"/>
  <c r="Z10" i="1" s="1"/>
  <c r="AC8" i="1"/>
  <c r="Z8" i="1" s="1"/>
  <c r="AC7" i="1"/>
  <c r="Z7" i="1" s="1"/>
  <c r="AC3" i="1"/>
  <c r="AC16" i="1"/>
  <c r="Z16" i="1" s="1"/>
  <c r="Z3" i="1" l="1"/>
  <c r="Z21" i="1" s="1"/>
  <c r="AC21" i="1"/>
  <c r="R21" i="1"/>
  <c r="Y9" i="1"/>
  <c r="Y8" i="1"/>
  <c r="Y7" i="1"/>
  <c r="Y21" i="1" l="1"/>
  <c r="R18" i="8"/>
  <c r="P18" i="8"/>
  <c r="E18" i="8"/>
  <c r="R18" i="5" l="1"/>
  <c r="P18" i="5"/>
  <c r="E18" i="5"/>
  <c r="R24" i="4"/>
  <c r="P24" i="4"/>
  <c r="E24" i="4"/>
  <c r="R18" i="3" l="1"/>
  <c r="P18" i="3"/>
  <c r="E18" i="3"/>
  <c r="G21" i="1" l="1"/>
  <c r="E14" i="2" l="1"/>
  <c r="R14" i="2"/>
  <c r="P14" i="2"/>
  <c r="BS3" i="11"/>
  <c r="BS3" i="11" a="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tc={D8709EAB-1E4F-4D0C-82F3-25A19CD19AB7}</author>
    <author>tc={3EBE3026-E4B7-4650-B0E0-96DABBADD8E6}</author>
    <author>tc={0F9F7DF3-98BD-40FD-86A7-8FA1FAC67CDC}</author>
  </authors>
  <commentList>
    <comment ref="BF12" authorId="0" shapeId="0" xr:uid="{D8709EAB-1E4F-4D0C-82F3-25A19CD19AB7}">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Si exécution 2022 : + 700'000 CHF</t>
      </text>
    </comment>
    <comment ref="H14" authorId="1" shapeId="0" xr:uid="{3EBE3026-E4B7-4650-B0E0-96DABBADD8E6}">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avt 27%</t>
      </text>
    </comment>
    <comment ref="K15" authorId="2" shapeId="0" xr:uid="{0F9F7DF3-98BD-40FD-86A7-8FA1FAC67CDC}">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avt 18%</t>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<sst xmlns="http://schemas.openxmlformats.org/spreadsheetml/2006/main" count="1685" uniqueCount="685">
  <si>
    <t>Ø Âge</t>
  </si>
  <si>
    <t>Ø Durée
d’utilisation</t>
  </si>
  <si>
    <t>Valeur de
remplacement</t>
  </si>
  <si>
    <t>Classe d'état réel
des installations</t>
  </si>
  <si>
    <t>Classe d'état souhaité
des installations</t>
  </si>
  <si>
    <t>Ecart</t>
  </si>
  <si>
    <t>Commentaires propres/personnels
(ne figurera pas dans le RAPRES)</t>
  </si>
  <si>
    <t>RAPRES 2025</t>
  </si>
  <si>
    <t>Sous-dossier ERP transN</t>
  </si>
  <si>
    <t>N°
RTE
29900</t>
  </si>
  <si>
    <t>Installations principales(*)
et installations</t>
  </si>
  <si>
    <t>Catégorie 1</t>
  </si>
  <si>
    <t>Catégorie 2</t>
  </si>
  <si>
    <t>Catégorie 3</t>
  </si>
  <si>
    <t>Catégorie 4</t>
  </si>
  <si>
    <t>Catégorie 5</t>
  </si>
  <si>
    <t>Renou- vellement</t>
  </si>
  <si>
    <t>Entretien</t>
  </si>
  <si>
    <t>Bref desciptif du renouvellement de l'année</t>
  </si>
  <si>
    <t>Bref desciptif de l'entretien de l'année</t>
  </si>
  <si>
    <r>
      <rPr>
        <b/>
        <sz val="16"/>
        <color theme="1"/>
        <rFont val="Calibri"/>
        <family val="2"/>
        <scheme val="minor"/>
      </rPr>
      <t>Commentaires si classe d'état réel 5</t>
    </r>
    <r>
      <rPr>
        <sz val="9"/>
        <color theme="1"/>
        <rFont val="Calibri"/>
        <family val="2"/>
        <scheme val="minor"/>
      </rPr>
      <t xml:space="preserve">
</t>
    </r>
    <r>
      <rPr>
        <sz val="10"/>
        <color theme="1"/>
        <rFont val="Calibri"/>
        <family val="2"/>
        <scheme val="minor"/>
      </rPr>
      <t>Les installations de la classe d’état 5 doivent être présentées et justifiées séparément, en indiquant dans la mesure du possible les mesures programmées (une présentation globale est possible). Si aucune mesure n’est prise, cette décision doit être justifiée.</t>
    </r>
  </si>
  <si>
    <t>_0.Bâtiments_et_terrains</t>
  </si>
  <si>
    <t>0130
0140
0150</t>
  </si>
  <si>
    <t>Autres bâtiments et terrains</t>
  </si>
  <si>
    <t>L215 : Etudes LT CNLI &amp; AVLI
L221 : Nouveau local technique en gare de Couvet 
L221 : Remse en état des emprises en gare de Couvet et sur la PV704
L222 : Rafraîchissement bâtiment voyageurs haltes Corbatière et La Sagne-Eglise, abri provisoire halte du Grenier.</t>
  </si>
  <si>
    <t>Pas de classe d'état 5</t>
  </si>
  <si>
    <t>_1.Ouvrages_d’art</t>
  </si>
  <si>
    <t>Ponts*</t>
  </si>
  <si>
    <t>L215 : Etudes PI CNLI &amp; AVLI, PIP Auvernier, TC Auvernier, Pont Boudry
L221 : Assainissement pont Presta 221-0010-PO</t>
  </si>
  <si>
    <t>Entretien général
Inspections périodiques</t>
  </si>
  <si>
    <t>Tunnels*</t>
  </si>
  <si>
    <t>Autres ouvrages d’art</t>
  </si>
  <si>
    <t>L221 : Refection mur 221-0009-MS_OLD
L221 : Refection mur 221-1017-MS
L222 : Assainissement 4 parois rochauses (222-2014/2024/2028/2033-DN)</t>
  </si>
  <si>
    <t>Entretien général
Inspections périodiques
Divers travaux selon "Formulaire de déclaration OPAPIF"
Désherbage et entretien différencié</t>
  </si>
  <si>
    <t>_2.Voie_ferrée</t>
  </si>
  <si>
    <t>Voies*</t>
  </si>
  <si>
    <t>L215 : MEC LHand AVLI, MEC LHand CNLI
L215 : Etudes Renouvellements AVLI-CNLI, NPLI-NEPS, ALIT-BLIT
L221 : Renouvellement VF gare de Couvet, PV704 et PV706
L222 : Etudes renouvellemetn PV 303 LCFO-REYM, PV309 SAGN-COED et PTMA-STD.</t>
  </si>
  <si>
    <t>- Entretien courant de la voie, Y compris Meulage
- Bourrage/ballastage
- Contrôle Ultrasons &amp; Entretien des espaces vert
- Curage de conduites, Supression de rails repère
- Remplacement de 333 &amp; Eliminations traverses   L.222  (CE5)</t>
  </si>
  <si>
    <t>c.f. rapport annexe</t>
  </si>
  <si>
    <t>Appareils de voie*</t>
  </si>
  <si>
    <t>L215 : RAV 3
L221 : AV1, AV2 et AV3 en gare de Couvet
L222: Renouvellement 1:1 des AVs en gare de La Sagne
L222 : Etudes plan de voie Gare des Ponts-de-Martel</t>
  </si>
  <si>
    <t>- Entretien courant des AV sur l'ensemble du réseau
- Remplacement de pièces, Soudage et rechargement sur certains AV / Bourrage</t>
  </si>
  <si>
    <t>Autres installations de voie ferrée</t>
  </si>
  <si>
    <t>L222 : platelages PN Corbatière et La Sagne-Eglise (LHand)</t>
  </si>
  <si>
    <t xml:space="preserve">- Platelage PN  L.222
- clôtures, remise en état câniveaux
</t>
  </si>
  <si>
    <t>_3.Installations_de_courant_de_traction</t>
  </si>
  <si>
    <t>Lignes de contact*</t>
  </si>
  <si>
    <t xml:space="preserve">L215 : MEC LHand AVLI, MEC LHand CNLI
L215 : Etudes Renouvellements AVLI-CNLI, NPLI-NEPS, ALIT-BLIT
L221 : Renouvellement LC gare de Couvet, et PV704 
L222 : Renouvellement LC PV303 Courbe du Reymond 
</t>
  </si>
  <si>
    <t xml:space="preserve">contrôle annuel 221,222,224,215, cangement suspension PV 151sur 215 , changement fil contact 150m sur 303 222 </t>
  </si>
  <si>
    <t>1320
1330</t>
  </si>
  <si>
    <t>Interrupteur et postes de couplage</t>
  </si>
  <si>
    <t>L215 : MEC LHand AVLI, MEC LHand CNLI
L215 : Etudes Renouvellements AVLI-CNLI, NPLI-NEPS, ALIT-BLIT</t>
  </si>
  <si>
    <t xml:space="preserve">remplacement 27 COBA </t>
  </si>
  <si>
    <t>Sous-stations</t>
  </si>
  <si>
    <t>L215 : Etudes SST NPLI, Réglages SST
L222 : Etudes SSt Corbatière et Petit-Martel</t>
  </si>
  <si>
    <t xml:space="preserve">entretien DC Csur toutes SST transN (sécheron ) </t>
  </si>
  <si>
    <t>Autres installations de courant de traction</t>
  </si>
  <si>
    <t>L215 : Réglages SST
L221 : Interrupteurs en gare de Couvet
L222: études assinissement courants vagabonds</t>
  </si>
  <si>
    <t xml:space="preserve">entretien perches mise à terre </t>
  </si>
  <si>
    <t>_4.Installations_de_sécurité</t>
  </si>
  <si>
    <t>Postes d’enclenchement et
systèmes de contrôle de la marche des trains*</t>
  </si>
  <si>
    <t>L215 : MEC LHand AVLI, MEC LHand CNLI
L215 : Etudes Renouvellements AVLI-CNLI, NPLI-NEPS, ALIT-BLIT
L221 : Enclenchement de la gare de Couvet et bloc TMN Couvet-Travers
L222: Etudes IS L222</t>
  </si>
  <si>
    <t xml:space="preserve"> -Entretien courant
-Changement des treuils PN Val Fleuri
-Remplacement des treuil PN Coeudre
- Surveillance et entretien accru des install Cat.5</t>
  </si>
  <si>
    <t>Autres installations de sécurité</t>
  </si>
  <si>
    <t>L215 : Migration TC
L221 : Mise en service Iltis</t>
  </si>
  <si>
    <t>-Entretien courant 
- Surveillance et entretien accru des install Cat.5</t>
  </si>
  <si>
    <t>_5.Installations_à_basse_tension
_et_de_télécom</t>
  </si>
  <si>
    <t>Consommateurs à basse tension*</t>
  </si>
  <si>
    <t>L215 : MEC LHand AVLI, MEC LHand CNLI, MEC LHand CNAL, MEC LHand NPLI, MEC LHand BLIT
L215 : Etudes Renouvellements AVLI-CNLI, NPLI-NEPS, ALIT-BLIT
L221 : Luminaire, HP, Caméra en gare de  Couvet 
L222 : Exécution LHand Corbatière, La Sagne-Eglise, Le Grenier (provisoire)
L222 : Etudes autres LHand</t>
  </si>
  <si>
    <t>Installation de climatisation pour des  locaux BT&amp;TC
Entretiens courants
Maintenance des climatistions, UPS</t>
  </si>
  <si>
    <t>Autres installations à basse tension
et de télécommunication</t>
  </si>
  <si>
    <t>Entretiens courants</t>
  </si>
  <si>
    <t>_6.Installations_d’accueil</t>
  </si>
  <si>
    <t>Quais et accès*</t>
  </si>
  <si>
    <t>L215 : MEC LHand AVLI, MEC LHand CNLI, MEC LHand CNAL, MEC LHand NPLI, MEC LHand BLIT
L221 : Création d'un PI et d'un quai central en gare de Couvet  ainsi que d'une marquise 
L222 : Exécution LHand COBA, SAEG + quai provisoire CFG
L222 : Etudes autres LHand</t>
  </si>
  <si>
    <t>Prestations de nettoyages
Déneigement des quais  et des accès
Entretiens courants</t>
  </si>
  <si>
    <t>Autres installations d’accueil</t>
  </si>
  <si>
    <t>L215 : MEC LHand AVLI, MEC LHand CNLI, MEC LHand CNAL, MEC LHand NPLI, MEC LHand BLIT
L221 : Abris vélos, clôtures en gare de Couvet</t>
  </si>
  <si>
    <t>Entretien de clôture</t>
  </si>
  <si>
    <t>_7.Véhicules_de_l’infrastructure</t>
  </si>
  <si>
    <t>Véhicules ferroviaires de l’infrastructure*</t>
  </si>
  <si>
    <t>L222 en cours acquisition 2 ballastières + 1 wagon plat ( fin 2026)</t>
  </si>
  <si>
    <t xml:space="preserve">Entretien général
Inspections périodiques
Véhiucles anciens et plus utilisé en cours de débarras </t>
  </si>
  <si>
    <t>Autres véhicules de l’infrastructure</t>
  </si>
  <si>
    <t xml:space="preserve">Entretien général
Inspections périodiques et contractuelles
</t>
  </si>
  <si>
    <t>Rempli par JFO_17.03.26/JFO</t>
  </si>
  <si>
    <t>_8.Moyens_d’exploitation_et_divers</t>
  </si>
  <si>
    <t>Autres moyens d’exploitation et divers</t>
  </si>
  <si>
    <t>Cellules à remplir par :</t>
  </si>
  <si>
    <t xml:space="preserve"> : CJE selon exportation GestioRail</t>
  </si>
  <si>
    <r>
      <t xml:space="preserve"> : Responsables budgets domaine </t>
    </r>
    <r>
      <rPr>
        <b/>
        <sz val="11"/>
        <color rgb="FFFF0000"/>
        <rFont val="Calibri"/>
        <family val="2"/>
        <scheme val="minor"/>
      </rPr>
      <t>Maintenance</t>
    </r>
  </si>
  <si>
    <r>
      <t xml:space="preserve"> : Responsables budgets domaine </t>
    </r>
    <r>
      <rPr>
        <b/>
        <sz val="11"/>
        <color rgb="FFFF0000"/>
        <rFont val="Calibri"/>
        <family val="2"/>
        <scheme val="minor"/>
      </rPr>
      <t>INVEST</t>
    </r>
  </si>
  <si>
    <t xml:space="preserve"> : Finances et/ou contrôleur de gestion</t>
  </si>
  <si>
    <t xml:space="preserve"> : CJE selon données des RI</t>
  </si>
  <si>
    <t>Catégorie d'installations</t>
  </si>
  <si>
    <t>Installations principales (*) et Installations</t>
  </si>
  <si>
    <t>000 - Bâtiment et terrains</t>
  </si>
  <si>
    <t>Bâtiments nécessaires à l’exploitation</t>
  </si>
  <si>
    <t>- Bâtiment de gare (hors marquise)</t>
  </si>
  <si>
    <t>- Ateliers, dépôts</t>
  </si>
  <si>
    <t>- Autres installations d'entretien (y compris locaux IS, bâtiment de sous-station, bâtiment servant à l'entretien des lignes)</t>
  </si>
  <si>
    <t>- Locaux de ventes</t>
  </si>
  <si>
    <t>Bâtiments non nécessaires à l’exploitation</t>
  </si>
  <si>
    <t>- Bâtiments locatifs et propriétés de INFRA</t>
  </si>
  <si>
    <t>- Bâtiments protégés et à conserver (inventiaire cantonal ou fédéral)</t>
  </si>
  <si>
    <t>Terrains</t>
  </si>
  <si>
    <t>- Surface bâtie</t>
  </si>
  <si>
    <t>- Surface non bâtie</t>
  </si>
  <si>
    <t>100 - Ouvrage d'art</t>
  </si>
  <si>
    <t>- Passage qui achemine une voie de circulation ou un service d'alimentation au-dessus de l'eau</t>
  </si>
  <si>
    <t>- Passage d'un terrain en contrebas ou d'une autre voie de circulation</t>
  </si>
  <si>
    <t>120</t>
  </si>
  <si>
    <t>Autres ouvrages d'art</t>
  </si>
  <si>
    <t>- Aqueduc</t>
  </si>
  <si>
    <t>- Ponceau</t>
  </si>
  <si>
    <t>- Galerie</t>
  </si>
  <si>
    <t>- Mur de soutènement (soutient la plateforme ferroviaire, un quai, un bâtiment de gare ou à soutenir un talus en amont des voies)</t>
  </si>
  <si>
    <t>- Mur de protection</t>
  </si>
  <si>
    <t>- Ouvrage de protection (paroi gunitée, paroi clouée, treillis de protection, etc.)</t>
  </si>
  <si>
    <t>- Canalisation d'alimentation et évacuation des eaux</t>
  </si>
  <si>
    <t>- Endiguement, correction de cours d’eaux</t>
  </si>
  <si>
    <t>- Ouvrage en terre</t>
  </si>
  <si>
    <t>- Nature (forêt de protection et bande de sécurité)</t>
  </si>
  <si>
    <t>- Travaux/prestations de tiers (fauche, désherbage, entretien de la nature hors acquisitions de matériels)</t>
  </si>
  <si>
    <t>200 Voie Ferrée</t>
  </si>
  <si>
    <t>Voies* superstructure:</t>
  </si>
  <si>
    <t>- Rail</t>
  </si>
  <si>
    <t>- Soudure</t>
  </si>
  <si>
    <t>- Traverse</t>
  </si>
  <si>
    <t>- matériel d'attaches</t>
  </si>
  <si>
    <t>- Ballast</t>
  </si>
  <si>
    <t>Voie* Infrastructure</t>
  </si>
  <si>
    <t>- Couche d'étanchéité</t>
  </si>
  <si>
    <t>- Couche de fondation</t>
  </si>
  <si>
    <t>- Couche de transition</t>
  </si>
  <si>
    <t>- Evacuation des eaux (canalisation et chambres)</t>
  </si>
  <si>
    <t>Appareils de voie* superstructure</t>
  </si>
  <si>
    <t>- Cœur , lames</t>
  </si>
  <si>
    <t>- Contre-rails, traverse</t>
  </si>
  <si>
    <t>Infrastructure des AV:</t>
  </si>
  <si>
    <t>- Evacuation des eaux</t>
  </si>
  <si>
    <t>- Passage à niveau  sans système de sécurité(sans barrière et signaux): fondation de signaux, fondation de treuils.</t>
  </si>
  <si>
    <t>- Platelage (caoutchouc, béton)</t>
  </si>
  <si>
    <t>- Canalisation, drainage, et chambres propres aux PN</t>
  </si>
  <si>
    <t>- Caniveau et traversée à câbles (contenant U)</t>
  </si>
  <si>
    <t>- Chambres de tirages</t>
  </si>
  <si>
    <t>- Batteries de tubes</t>
  </si>
  <si>
    <t>- Clôtures (hors installation d’accueil)</t>
  </si>
  <si>
    <t>- Canalisations et services de tiers (construction ou déviation de services avec canalisation de câbles).</t>
  </si>
  <si>
    <t>300 - Courant de traction</t>
  </si>
  <si>
    <t>- Fondation</t>
  </si>
  <si>
    <t>- Mât/joug, console, bras de retenue</t>
  </si>
  <si>
    <t>- Caténaire, fil de contact</t>
  </si>
  <si>
    <t>- Mise à la terre, conducteur de retour de traction</t>
  </si>
  <si>
    <t>- Installation de câblage</t>
  </si>
  <si>
    <t>- Ligne d'alimentation, ligne auxillaire, ligne détournée, ligne de transport,</t>
  </si>
  <si>
    <t>- Commutateur sur les structures porteuses</t>
  </si>
  <si>
    <t>Interupteur et poste de couplage</t>
  </si>
  <si>
    <t>- Poste de distribution (herse)</t>
  </si>
  <si>
    <t>-  Poste de couplage</t>
  </si>
  <si>
    <t>-  Interrupteur</t>
  </si>
  <si>
    <t>- transformateur 16.7</t>
  </si>
  <si>
    <t>- Parafoudre LC</t>
  </si>
  <si>
    <t>- Court-cicruiteur</t>
  </si>
  <si>
    <t>- Coffret à diodes</t>
  </si>
  <si>
    <t>Sous-station</t>
  </si>
  <si>
    <t>- Sous-station électrique</t>
  </si>
  <si>
    <t>- Onduleur/convertisseur</t>
  </si>
  <si>
    <t>- Installation de préchauffage des voitures</t>
  </si>
  <si>
    <t>- Câble retour de traction vers SST (négatif)</t>
  </si>
  <si>
    <t>- Câble d’alimentation LC depuis SST (positif)</t>
  </si>
  <si>
    <t>- Transformateur de traction, transformateur auxiliaire</t>
  </si>
  <si>
    <t>- Disjoncteur de ligne, disjoncteur moyenne tension</t>
  </si>
  <si>
    <t>- Redresseur</t>
  </si>
  <si>
    <t xml:space="preserve">- Relais de terre. </t>
  </si>
  <si>
    <t>- Système de commande de l'énergie</t>
  </si>
  <si>
    <t>- Ligne de transport</t>
  </si>
  <si>
    <t xml:space="preserve"> - Eclairage AV</t>
  </si>
  <si>
    <t>400 - installations de sécurité</t>
  </si>
  <si>
    <t>Postes d’enclenchement et système de contrôle de la marche des trains*</t>
  </si>
  <si>
    <t>- Installation intérieure</t>
  </si>
  <si>
    <t>- Installation extérieure</t>
  </si>
  <si>
    <t>- Armoire technique</t>
  </si>
  <si>
    <t>- Passage à niveau</t>
  </si>
  <si>
    <t>- Block de ligne</t>
  </si>
  <si>
    <t>- Transmission de données pour les installations de signalisation et d'automatisation</t>
  </si>
  <si>
    <t>- Equipement d'appareil de voie</t>
  </si>
  <si>
    <t>- Dispositif de déraillement (aiguille de protection, sabot dérailleur)</t>
  </si>
  <si>
    <t>- Commande AV (moteurs, y compris calage)</t>
  </si>
  <si>
    <t>- compteurs d’essieux, contact de voie, rail isolé, scellés, signal principal, signaux de manœuvres, télécommande IS, cartes électroniques, jeux de relais, passage à niveau (si compris dans la gare), dispositifs de déraillement, KV, QC. Les dispositifs de contrôle de la marche des trains sont des systèmes de surveillance destinés au contrôle des vitesses maximales ou à agir sur les véhicules (par exemple, Balises ETCS, ZSI ou Signum).</t>
  </si>
  <si>
    <t>499</t>
  </si>
  <si>
    <t>- interface de commande et 'd'acheminement</t>
  </si>
  <si>
    <t>- système de manoeuvre</t>
  </si>
  <si>
    <t>- dispositif de contrôle de la marche des trains</t>
  </si>
  <si>
    <t>- installation d'alarme</t>
  </si>
  <si>
    <t>- passage à niveau autonome</t>
  </si>
  <si>
    <t>- infrastructure à câble (PAS LE CANIVEAU)</t>
  </si>
  <si>
    <t>- Installations d’alarme (hors incendie). Faux-plancher(local technique), faux-plafond (local technique)</t>
  </si>
  <si>
    <t>500 - Basse tension et télécommunication</t>
  </si>
  <si>
    <t>- Installation électrique</t>
  </si>
  <si>
    <t>- Immotique</t>
  </si>
  <si>
    <t>- Alimentation des installations de sécurité</t>
  </si>
  <si>
    <t>- Système technique de protection contre l'incendie</t>
  </si>
  <si>
    <t>- Installation thermique</t>
  </si>
  <si>
    <t>- Installation de refroidissement</t>
  </si>
  <si>
    <t>- Installation de ventilation</t>
  </si>
  <si>
    <t>- Installation d'eau</t>
  </si>
  <si>
    <t>- Installation de gaz,</t>
  </si>
  <si>
    <t>- Installation pneumatique</t>
  </si>
  <si>
    <t>- Installation de transport</t>
  </si>
  <si>
    <r>
      <t>- Installations électriques, BT, tableaux, éclairage, chauffage d’AV, installations de surveillance (effraction et vidéo),</t>
    </r>
    <r>
      <rPr>
        <b/>
        <sz val="8"/>
        <color rgb="FF000000"/>
        <rFont val="Arial"/>
        <family val="2"/>
      </rPr>
      <t xml:space="preserve"> </t>
    </r>
    <r>
      <rPr>
        <sz val="8"/>
        <color rgb="FF000000"/>
        <rFont val="Arial"/>
        <family val="2"/>
      </rPr>
      <t>sonorisation (amplificateur, haut-parleur), afficheur de quai, détection incendie, extinction incendie, ventilation, installations d’eau et de gaz, pneumatiques.</t>
    </r>
  </si>
  <si>
    <t>Autres installations à basse tension et de télécommunication</t>
  </si>
  <si>
    <r>
      <t xml:space="preserve">Système de données </t>
    </r>
    <r>
      <rPr>
        <sz val="8"/>
        <color rgb="FF000000"/>
        <rFont val="Arial"/>
        <family val="2"/>
      </rPr>
      <t>(hardware uniquement):</t>
    </r>
  </si>
  <si>
    <t>- Câbles de données</t>
  </si>
  <si>
    <t>- Fibre optique</t>
  </si>
  <si>
    <t>- Business IP, Rail-IP, rail Data Business Data, WDM, LAN,</t>
  </si>
  <si>
    <t>- Equipements d'un centre d'exploitation dédiés à l'exploitation ferroviaire (Serveur IT, ...)</t>
  </si>
  <si>
    <r>
      <t xml:space="preserve">Système de communication </t>
    </r>
    <r>
      <rPr>
        <sz val="8"/>
        <color rgb="FF000000"/>
        <rFont val="Arial"/>
        <family val="2"/>
      </rPr>
      <t>(hardware uniquement)</t>
    </r>
  </si>
  <si>
    <t>- GSM-R</t>
  </si>
  <si>
    <t>- Haut-parleur</t>
  </si>
  <si>
    <t>- téléphonie d’entreprise</t>
  </si>
  <si>
    <t>- Mâts d’antenne</t>
  </si>
  <si>
    <t>- BTA-ISIS, Installations de communication ferroviaires</t>
  </si>
  <si>
    <t>- Terminaux Rail, Mobile</t>
  </si>
  <si>
    <t>- Enregistreurs vocaux, GSM-R</t>
  </si>
  <si>
    <t>- Radio, liaison radio dans les tunnels</t>
  </si>
  <si>
    <t>600 - Installations d'acceuil</t>
  </si>
  <si>
    <t>- Bordure et corps de quai</t>
  </si>
  <si>
    <t>- Marquises</t>
  </si>
  <si>
    <t>- Abri / salle d'attente de quai</t>
  </si>
  <si>
    <t>- Equipement de quai (ex. banc, poubelles, signalétiques)</t>
  </si>
  <si>
    <t>- Main courante</t>
  </si>
  <si>
    <t>- Passage inférieur (ex. PI voyageurs, PI transitant)</t>
  </si>
  <si>
    <t>- Passage supérieur (ex. passerelle voyageurs)</t>
  </si>
  <si>
    <t>- Escalier d'accès</t>
  </si>
  <si>
    <t>- Rampe d'accès</t>
  </si>
  <si>
    <t>- Ascenceurs</t>
  </si>
  <si>
    <t>Autres installations d'accueil</t>
  </si>
  <si>
    <t>- Place de stationnement pour les véhicules et entrepôts</t>
  </si>
  <si>
    <t>- Abri vélo</t>
  </si>
  <si>
    <t>- Selecta, couverts, Kiss¬Ride</t>
  </si>
  <si>
    <t>- Espace public</t>
  </si>
  <si>
    <t>- Accès au trafic marchandises (quai de chargement, fosses à bogies)</t>
  </si>
  <si>
    <t>- Signalisation</t>
  </si>
  <si>
    <t>- Clôture dans le périmètre de la gare ou des installations d'acceuil</t>
  </si>
  <si>
    <t>700 - Véhicule infrastructure</t>
  </si>
  <si>
    <t>- Véhicule de traction</t>
  </si>
  <si>
    <t>- Composition autotractée</t>
  </si>
  <si>
    <t>- Véhicule ferroviaire, module spécifique</t>
  </si>
  <si>
    <t>751</t>
  </si>
  <si>
    <t>Véhicules routiers de l’infrastructure</t>
  </si>
  <si>
    <t>- Deux-roues</t>
  </si>
  <si>
    <t>- Entretien des surfaces</t>
  </si>
  <si>
    <t>- Camion</t>
  </si>
  <si>
    <t>- Voiture de tourisme,</t>
  </si>
  <si>
    <t>- Equipement logistique, véhicules spéciaux</t>
  </si>
  <si>
    <t>800 - Moyens d'exploitation et divers</t>
  </si>
  <si>
    <t>Moyens d’exploitation</t>
  </si>
  <si>
    <t>- Machine: Installation d'entreposage et lavage</t>
  </si>
  <si>
    <t xml:space="preserve">- Outillage:  dispositif mécanique et électrique destiné aux installations d'entretien de l'infrastructure, dispositifs entretien matériel roulant, </t>
  </si>
  <si>
    <t>équipements</t>
  </si>
  <si>
    <t>- Mobiles: raiseuse à neige, perceuse à rais</t>
  </si>
  <si>
    <t>- Mobilier: ameublement de locaux, plotter, imprimantes</t>
  </si>
  <si>
    <t>899</t>
  </si>
  <si>
    <t>Autres moyens d'exploitation et divers</t>
  </si>
  <si>
    <t>TIC interne à l'exploitation:</t>
  </si>
  <si>
    <t>-  logiciels informatiques (Gestiorail)</t>
  </si>
  <si>
    <t>- Matériel informatique: Information voyageurs, DATT, écran d’information (BIV), borne tactile</t>
  </si>
  <si>
    <t>Système de mesure et de diagnostic de l'état de la voie</t>
  </si>
  <si>
    <t>- Appareils de mesures, mephisto, théodolite</t>
  </si>
  <si>
    <t>- Contrôle et comptage trafic</t>
  </si>
  <si>
    <t>Genres d’installations</t>
  </si>
  <si>
    <t>Type d’installations</t>
  </si>
  <si>
    <t>Durée d’utilisation</t>
  </si>
  <si>
    <t>10 à 100 ans</t>
  </si>
  <si>
    <t>80 à 120 ans</t>
  </si>
  <si>
    <t>80 à 150 ans</t>
  </si>
  <si>
    <t>15 à 50 ans</t>
  </si>
  <si>
    <t>25 à 80 ans</t>
  </si>
  <si>
    <t>20 à 60 ans</t>
  </si>
  <si>
    <t>20 à 80 ans</t>
  </si>
  <si>
    <t>5 à 80 ans</t>
  </si>
  <si>
    <t>Postes d’enclenchement  et systèmes de contrôle de la marche des trains*</t>
  </si>
  <si>
    <t>7 à 70 ans</t>
  </si>
  <si>
    <t>2 à 70 ans</t>
  </si>
  <si>
    <t>_5.Installations_à_basse_tension_et_de_télécommunication</t>
  </si>
  <si>
    <t>5 à 40 ans</t>
  </si>
  <si>
    <t>2 à 40 ans</t>
  </si>
  <si>
    <t>15 à 100 ans</t>
  </si>
  <si>
    <t>10 à 50 ans</t>
  </si>
  <si>
    <t>5 à 50 ans</t>
  </si>
  <si>
    <t>Cathégorie d’installations</t>
  </si>
  <si>
    <t>L221 : Nouveau local technique en gare de Couvet 
L221 : Renouvellement de la gare de Couvet et PV704
L215 : Finitions LT les Chézards
L215 : Etudes LT CNLI &amp; AVLI</t>
  </si>
  <si>
    <t>L215 : Etudes PI CNLI &amp; AVLI
L215 : Etudes PIP Auvernier port
L221 : Assainissement pont Presta 221-0010-PO</t>
  </si>
  <si>
    <t>Aucun tunnel à renouveler/assainir</t>
  </si>
  <si>
    <t xml:space="preserve">L222 : Assainissement mur de soutènement 222-0047-MS (dernier OA en état 5)
</t>
  </si>
  <si>
    <t>L215 : Etudes Renouvellement AVLI, renouvellement CNLI
L215 : Etudes Renouvellement AVLI-CNLI
L215 : Travaux de finition MEC LHand ALIT
L215 : Finitions renouvellement de voie CNLI-ALIT
L215 : Etudes renouvellement NPLI-NEPS
L221 : Renouvellement PV706
L222: Etudes renouvellement PV309 et coordination travaux RC1310.</t>
  </si>
  <si>
    <t>- Entretien courant de la voie
- Bourrage/ballastage
- Entretien des espaces vert
- Curage de conduites, Supression de rails repère
- Remplacement &amp; Eliminations traverses 
(CE5) L.224 260m. &amp; L.222 150m.</t>
  </si>
  <si>
    <t>L221 : Renouvellement VF de la gare de Couvet et PV704
L221 : Démontage des voies 1 et 2 en gare de Môtiers</t>
  </si>
  <si>
    <t xml:space="preserve">- Platelage PN 
- clôtures, remise en état câniveaux
(CE5) L.215 2 x 18m. Rails à gorges, traverses &amp; enrobé </t>
  </si>
  <si>
    <t>L215 : Etudes Renouvellement AVLI, renouvellement CNLI
L215 : Etudes Renouvellement AVLI-CNLI
L215 : Travaux de finition MEC LHand ALIT
L215 : Finitions renouvellement de voie CNLI-ALIT
L215 : Etudes renouvellement NPLI-NEPS
L221 : PV702 - remplacement matériel Winshift
L222 : Etudes renouvellement courbe du Reymond
L222: Mesures augmentation durée de vie Courbe du Reymond.</t>
  </si>
  <si>
    <t xml:space="preserve">mise à terre renouvellée sur PV 706  </t>
  </si>
  <si>
    <t>L215 : Finitions ALIT
L215 : Finitions CNLI-ALIT</t>
  </si>
  <si>
    <t xml:space="preserve">placement panneaux sectionnement </t>
  </si>
  <si>
    <t>L215 : Finitions ALIT
L215 : Finitions CNLI-ALIT
L222 : Etudes renouvellement SSt La Corbatière</t>
  </si>
  <si>
    <t>réglage Q1 et Q2 ALIT</t>
  </si>
  <si>
    <t>L221 : Renouvellement LC de la gare de Couvet et PV704
L221 : Démontage de la LC des voies 1 et 2 en gare de Môtiers</t>
  </si>
  <si>
    <t xml:space="preserve">  Mise à terre neuve sur PV 706 et mise à terre Motiers </t>
  </si>
  <si>
    <t>L215 : Etudes Renouvellement AVLI, renouvellement CNLI
L215 : Etudes Renouvellement AVLI-CNLI
L215 : Travaux de finition MEC LHand ALIT
L215 : Finitions renouvellement de voie CNLI-ALIT
L215 : Etudes renouvellement NPLI-NEPS
L222: Etudes Déploiement installations de sécurité L222</t>
  </si>
  <si>
    <t xml:space="preserve"> -Entretien courant
- Surveillance et Entretien accru des install Cat.5</t>
  </si>
  <si>
    <t>L221 : Renouvellement de l'enclenchement de gare de Couvet 
L215 : Etudes Renouvellement AVLI, renouvellement CNLI
L215 : Etudes Renouvellement AVLI-CNLI
L215 : Travaux de finition MEC LHand ALIT
L215 : Finitions renouvellement de voie CNLI-ALIT
L215 : Etudes renouvellement NPLI-NEPS
L222: Etudes Déploiement installations de sécurité L222</t>
  </si>
  <si>
    <t xml:space="preserve"> -Entretien courant
- Surveillance et entretien accru des install Cat.5</t>
  </si>
  <si>
    <t>L215 : Etudes Renouvellement AVLI, renouvellement CNLI
L215 : Etudes Renouvellement AVLI-CNLI
L215 : Travaux de finition MEC LHand ALIT
L215 : Finitions renouvellement de voie CNLI-ALIT
L215 : Etudes renouvellement NPLI-NEPS</t>
  </si>
  <si>
    <t xml:space="preserve">protocoles annuel </t>
  </si>
  <si>
    <t xml:space="preserve">L221 : Renouvellement de la gare de Couvet 
'L215 : Etudes Renouvellement AVLI, renouvellement CNLI
L215 : Etudes Renouvellement AVLI-CNLI
L215 : Travaux de finition MEC LHand ALIT
L215 : Finitions renouvellement de voie CNLI-ALIT
L215 : Etudes renouvellement NPLI-NEPS
L222: Etudes Déploiement installations de sécurité L222
</t>
  </si>
  <si>
    <t>inspection local BT à CVTR et protocole annuel</t>
  </si>
  <si>
    <t>L215 : Etudes MEC LHand CNLI, MEC LHand AVLI &amp; MEC LHand CNAL
L215 : Travaux de finition MEC LHand ALIT &amp; MEC LHand CNLC
L215 : Etudes MEC LHand NPLI &amp; MEC LHand BLIT
L222 : réponse examen d'exhaustivité projets Lhand L222
L2222 : étude quai provisoire LHand halte CF Le Grenier
L222 : Etudes nouvelle halte CF L'Orée-du-Bois
L222 : Adaptation bordures de quai CF Voie 2 pour ABe4/8.</t>
  </si>
  <si>
    <t>Déneigement des quais  et des accès
Nettoyage d+X17+X18+X17+X18+X17+X18</t>
  </si>
  <si>
    <t>L221 : Création d'un PI et d'un quai central en gare de Couvet 
L215 : Etudes MEC LHand CNLI, MEC LHand AVLI &amp; MEC LHand CNAL
L215 : Travaux de finition MEC LHand ALIT &amp; MEC LHand CNLC
L215 : Etudes MEC LHand NPLI &amp; MEC LHand BLIT
L222: Etudes PI et quai halte de CF Orée-du-Bois
L222 : Etudes LHand L222.</t>
  </si>
  <si>
    <t>L221 acquisition TM VN
L222 en cours acquisition 2 ballastières + 1 wagon plat ( fin 2026)</t>
  </si>
  <si>
    <t xml:space="preserve">Entretien général
Inspections périodiques
Véhciules ancien et plus utilisé en cours de débarras </t>
  </si>
  <si>
    <t>Cette partie doit-être remplie par RRO ou OSA_24.03.25/JFO</t>
  </si>
  <si>
    <t>Rempli par JFO_24.03.25/JFO</t>
  </si>
  <si>
    <t>L221 : Substitution bus de la ligne / entretien matériel roulant 
L222 : Substitution bud de la ligne / travaux ferroviaires</t>
  </si>
  <si>
    <r>
      <t xml:space="preserve">RAPRES </t>
    </r>
    <r>
      <rPr>
        <b/>
        <sz val="72"/>
        <color rgb="FFFF0000"/>
        <rFont val="Calibri"/>
        <family val="2"/>
        <scheme val="minor"/>
      </rPr>
      <t>2023</t>
    </r>
  </si>
  <si>
    <r>
      <t xml:space="preserve">Montants dépensés </t>
    </r>
    <r>
      <rPr>
        <b/>
        <sz val="26"/>
        <color rgb="FFFF0000"/>
        <rFont val="Calibri"/>
        <family val="2"/>
        <scheme val="minor"/>
      </rPr>
      <t>2023</t>
    </r>
  </si>
  <si>
    <r>
      <t xml:space="preserve">Montants planifiés </t>
    </r>
    <r>
      <rPr>
        <b/>
        <sz val="26"/>
        <color rgb="FFFF0000"/>
        <rFont val="Calibri"/>
        <family val="2"/>
        <scheme val="minor"/>
      </rPr>
      <t>2024</t>
    </r>
  </si>
  <si>
    <r>
      <t xml:space="preserve">Remarques liées aux dépenses </t>
    </r>
    <r>
      <rPr>
        <b/>
        <sz val="41"/>
        <color rgb="FFFF0000"/>
        <rFont val="Calibri"/>
        <family val="2"/>
        <scheme val="minor"/>
      </rPr>
      <t>2023</t>
    </r>
  </si>
  <si>
    <t>L215 : Etudes pour la mise enconformité des gares NPLI, AVLI, CNLI, BLIT 
L215 : Travaux gare ALIT, halte CNLC et PV 154
L221 : Etudes pour projet de renouvellement de la gare de Môtiers 
L221 : Démarrage des  travaux en gare de Couvet 
L221 : Bouclement et paiements des indemnités pour la gare de Buttes et PV708
L222: Etude bâtiments de service IS L222 (PDM / REYM)</t>
  </si>
  <si>
    <t>Prestations de nettoyge et entretien courant</t>
  </si>
  <si>
    <t>L221 : Dossier PAP pont Presta 221-0010-PO rédigé et en attente de DAP
L215 : Travaux gare ALIT, halte CNLC et PV 154</t>
  </si>
  <si>
    <r>
      <rPr>
        <u/>
        <sz val="11"/>
        <rFont val="Calibri"/>
        <family val="2"/>
        <scheme val="minor"/>
      </rPr>
      <t>Divers dossiers PAP en cours de rédaction et/ou attente DAP :</t>
    </r>
    <r>
      <rPr>
        <sz val="11"/>
        <rFont val="Calibri"/>
        <family val="2"/>
        <scheme val="minor"/>
      </rPr>
      <t xml:space="preserve">
L215 : Etudes pour la mise enconformité des gares NPLI, AVLI, CNLI, BLIT et des renouvellements des PV 151, 153 et 155
L215 : Travaux gare ALIT, halte CNLC et PV 154
L221 : Etudes pour projet de renouvellement de la gare de Môtiers 
L221 : Démarrage des travaux en gare de Couvet 
L222 : EP des ouvrages d'art pour le renouvellement complet des PV303, 305 et 309
L222 : 4 parois rocheuses 222-2014/2024/2028/2033-DN
L222 : 1 passage inférieur 222-0033-PI
L222 : 2 murs de soutènement 222-1047/0013B-MS
L222 : 2 parois rocheuses 222-2003/2004-DN
L221 : Etudes pour projet de renouvellement des PV702 et 706
</t>
    </r>
    <r>
      <rPr>
        <u/>
        <sz val="9"/>
        <color theme="9" tint="-0.249977111117893"/>
        <rFont val="Calibri"/>
        <family val="2"/>
        <scheme val="minor"/>
      </rPr>
      <t>Assainissement :</t>
    </r>
    <r>
      <rPr>
        <sz val="11"/>
        <rFont val="Calibri"/>
        <family val="2"/>
        <scheme val="minor"/>
      </rPr>
      <t xml:space="preserve">
L222 : 2 parois rocheuses 222-2030/2036-DN</t>
    </r>
  </si>
  <si>
    <t>Renouvellement avec dossier PAP planifié à 100% en 2024 (222-1047-MS)</t>
  </si>
  <si>
    <t>L215 : Etudes pour les renouvellements des PV 151, 153 et 155
L215 : Travaux gare ALIT, halte CNLC et PV 154
L215: Etudes renouvelleemnt faisceau de voies dépôt NE Evole
L221 : Etudes pour projet de renouvellement des PV702 et 706
L222 : EP pour le renouvellement comlet des PV303, 305 et 309
L222 : Avancement de l'examen d'exhaustivité auprès de l'OFT des dossiers La Sagne et Les Coeudres-Est</t>
  </si>
  <si>
    <t>- Entretien courant de la voie Y.C Meulage
- Bourrage/ballastage
- Ultrasons / entretien des espaces vert
- Curage de conduites
- Remplacement &amp; Eliminations traverses</t>
  </si>
  <si>
    <t>L215 : Etudes pour les renouvellements des PV 151, 153 et 155
L215 : Travaux gare ALIT, halte CNLC et PV 154
L215: Etudes renouvelleemnt faisceau de voies dépôt NE Evole
L221 : Etudes pour projet de renouvellement des PV702 et 706
L222 : Avancement de l'examen d'exhaustivité auprès de l'OFT Du dossier de la gare de La Sagne (renouvellement des AV inclus)</t>
  </si>
  <si>
    <t>- Entretien courant des AV sur l'ensemble du réseau
- Remplacement de pièces, Soudage et rechargement sur certains AV / Bourrage / Meulage</t>
  </si>
  <si>
    <t>L215 : Etudes pour les renouvellements des PV 151, 153 et 155
L215 : Travaux gare ALIT, halte CNLC et PV 154
L221 : Etudes pour projet de renouvellement de la gare de Môtiers 
L221 :Môtiers V.3 Maintien de la disponibilité et la sécuritédes installations
L221 : Démarrage travaux en gare de Couvet 
L221 : Etudes pour projet de renouvellement de la PV704
L221 : Etudes pour projet de renouvellement des PV702 et 706</t>
  </si>
  <si>
    <t>Platelage PN, clôtures, câniveaux</t>
  </si>
  <si>
    <t>L215 : Etudes pour les renouvellements des PV 151, 153 et 155 /  la mise enconformité des gares NPLI, AVLI, CNLI, BLIT 
L215 : Travaux gare ALIT, halte CNLC et PV 154
L215: Etudes renouvelleemnt faisceau de voies dépôt NE Evole
L222 : Avancement de l'examen d'exhaustivité auprès de l'OFT des dossiers La Sagne et Les Coeudres-Est</t>
  </si>
  <si>
    <t xml:space="preserve">- Entretien courant
- Mise en conformité de la LC (L221)
- Surveillance et entretien accru des install Cat.5
</t>
  </si>
  <si>
    <t>240418 - Suite à interpellation de OMU à CJE et ARO, il est convenu de mettre à zéro la moyenne d'age et la moyenne de durée d'tilisation des installations 399 car il n'y a en a pas et de reporter les montants investis en renouvellement 2021, 2022 et 2023 sur la valeure de remplacement du 310 (1'208'134 [2021] + 434'040.95 [2022] + -386'716.53 [2023]. Le nécessaire devra être pris par FIN pour ne plus accépter de dépenses sur 399</t>
  </si>
  <si>
    <t>L215 : Etudes pour la mise enconformité des gares NPLI, AVLI, CNLI, BLIT et des renouvellements des PV 151, 153 et 155
L215 : Travaux gare ALIT, halte CNLC et PV 154</t>
  </si>
  <si>
    <t>'- Entretien (location moyens de levage)
- Remplacement d'un interrupteur défectueux L221
- Surveillance et entretien accru des install Cat.5</t>
  </si>
  <si>
    <t>L222 : levée d'oppositions SSt Petit-Martel / études renouvellement SSt La Corbatière
L215 : Travaux gare ALIT</t>
  </si>
  <si>
    <t>'- Entretien annuel courant
- Surveillance et entretien accru des install Cat.5</t>
  </si>
  <si>
    <t>L221 : Etudes pour projet de renouvellement de la gare de Môtiers 
L221 : Démarrage des  travaux en gare de Couvet 
L221 : Etudes pour projet de renouvellement de la PV704</t>
  </si>
  <si>
    <t>- Etablissements schémas (profil en travers)
- Mise a terre divers</t>
  </si>
  <si>
    <t>L215 : Etudes IS L215 et renouvellement PN
L215 : Adapatations IS LHand gare d'Areuse et CNLI-ALIT PV154
L215: Renouvellement treuils et barrières de 3 PNs
L221 : Etudes pour projet de renouvellement de la gare de Môtiers 
L221 : Démarrage des travaux en gare de Couvet 
L221 : Etudes pour projet de renouvellement de la PV704
L222 : Etudes déploiement IS L222
L222 : Avancement de l'examen d'exhaustivité auprès de l'OFT des dossiers La Sagne et Les Coeudres-Est avec les installations extérieures des IS</t>
  </si>
  <si>
    <t>- Entretien courant
- Surveillance et entretien accru des install Cat.5</t>
  </si>
  <si>
    <t>L215 : Etudes pour les renouvellements des PV 151, 153 et 155 /  la mise enconformité des gares NPLI, AVLI, CNLI, BLIT 
L215 : Travaux gare ALIT, halte CNLC et PV 154</t>
  </si>
  <si>
    <t>- Aménagement TC divers
- Rapport inspection
- Relevé câbles</t>
  </si>
  <si>
    <t>L215 : Etudes pour les renouvellements des PV 151, 153 et 155 /  la mise enconformité des gares NPLI, AVLI, CNLI, BLIT 
L215 : Travaux gare ALIT, halte CNLC et PV 154
L221 : Etudes pour projet de renouvellement de la gare de Môtiers 
L221 : Démarrage des travaux en gare de Couvet 
L221 : Etudes pour projet de renouvellement de la PV704</t>
  </si>
  <si>
    <t>- Licence soft  gestion câbles
- Contrat sonorisation L221 (CFF)</t>
  </si>
  <si>
    <t>L215 : Etudes pour  la mise enconformité des gares NPLI, AVLI, CNLI, BLIT 
L215 : Travaux gare ALIT, halte CNLC
L222 : avancement sur les projets Lhand (Malakoff, Les Coeudres, Petit-Martel, Petit-Martel Est, Le Stand, Les Ponts-de-Martel)
L222 : Réception des DAP pour les haltes La Corbatière et La Sagne-Eglise</t>
  </si>
  <si>
    <t>Déneigement des quais  et des accès
Nettoyage des structures d'accueils
Remise en état de la signalétique</t>
  </si>
  <si>
    <t xml:space="preserve">L221 : Etudes pour projet de renouvellement de la gare de Môtiers 
L221 : Démarrage des travaux en gare de Couvet </t>
  </si>
  <si>
    <t>Acquis 1 TM VE 222 
En cours d'aquisition TM VN 221 en 2023/2024
En cours d'aquisition 2 ballastièrs et wagon plat en 2023/2025</t>
  </si>
  <si>
    <t>Cette partie doit-être remplie par RRO ou OSA_JFO 19.03.24</t>
  </si>
  <si>
    <t>Aucun achat de Vhc en 2023
En cours d'aquisition véhicule entretien L222 en 2023/2025 
En cours d'aquisition camion bi-mode LC projet redirigé2023/2025</t>
  </si>
  <si>
    <t>Rempli par JFO_19.03.24</t>
  </si>
  <si>
    <t xml:space="preserve">
L221 : Mise en place bus de substitution pour le clustering 2024 - 2025</t>
  </si>
  <si>
    <t xml:space="preserve"> : OMU selon données des RI" dans fichier TEAMS CJE</t>
  </si>
  <si>
    <t xml:space="preserve"> : CJE selon données des RI"</t>
  </si>
  <si>
    <r>
      <t xml:space="preserve"> : </t>
    </r>
    <r>
      <rPr>
        <b/>
        <sz val="11"/>
        <color rgb="FFFF0000"/>
        <rFont val="Calibri"/>
        <family val="2"/>
        <scheme val="minor"/>
      </rPr>
      <t>???</t>
    </r>
  </si>
  <si>
    <r>
      <t xml:space="preserve">RAPRES </t>
    </r>
    <r>
      <rPr>
        <b/>
        <sz val="72"/>
        <color rgb="FFFF0000"/>
        <rFont val="Calibri"/>
        <family val="2"/>
        <scheme val="minor"/>
      </rPr>
      <t>2022</t>
    </r>
  </si>
  <si>
    <r>
      <t xml:space="preserve">Montants dépensés </t>
    </r>
    <r>
      <rPr>
        <b/>
        <sz val="26"/>
        <color rgb="FFFF0000"/>
        <rFont val="Calibri"/>
        <family val="2"/>
        <scheme val="minor"/>
      </rPr>
      <t>2022</t>
    </r>
  </si>
  <si>
    <r>
      <t xml:space="preserve">Montants planifiés </t>
    </r>
    <r>
      <rPr>
        <b/>
        <sz val="26"/>
        <color rgb="FFFF0000"/>
        <rFont val="Calibri"/>
        <family val="2"/>
        <scheme val="minor"/>
      </rPr>
      <t>2023</t>
    </r>
  </si>
  <si>
    <r>
      <t xml:space="preserve">Remarques liées aux dépenses </t>
    </r>
    <r>
      <rPr>
        <b/>
        <sz val="41"/>
        <color rgb="FFFF0000"/>
        <rFont val="Calibri"/>
        <family val="2"/>
        <scheme val="minor"/>
      </rPr>
      <t>2022</t>
    </r>
  </si>
  <si>
    <t>L221 : Diverses emprises pour les projets 
L221 : Local technique de la gare de Buttes
L224 : Gare des Brenets</t>
  </si>
  <si>
    <t>L221 : Dossier PAP pont Presta en cours de rédaction</t>
  </si>
  <si>
    <t>L224 : Tunnel de Monterban</t>
  </si>
  <si>
    <t>Divers dossiers PAP en cours de rédaction
L221 : Mur PN Tivoli et Fleurier-Buttes
L221 : Petits travaux en gare de Buttes</t>
  </si>
  <si>
    <t>Renouvellement planifié à 100% d'ici fin 2025</t>
  </si>
  <si>
    <t>L215 : Etudes VF renouvellement faisceau de voies Neuchâtel Evole 
L221 : Renouvellement pleine voie Fleurier-Buttes 
L221 : Gare de Buttes</t>
  </si>
  <si>
    <t>- 94% des installations avec renouvellement planifié entre 2023 et 2026 + 6% non renouvellé (L 224 avec fin d'exploitation en 2023).</t>
  </si>
  <si>
    <t>L215 : Etudes VF renouvellement faisceau de voies Neuchâtel Evole 
L221 : Appareils de voie de la gare de Buttes</t>
  </si>
  <si>
    <t>- 100% des installations avec renouvellement planifié entre 2024 et 2026.</t>
  </si>
  <si>
    <t>L215 : Etudes VF renouvellement faisceau de voies Neuchâtel Evole 
L221 : Renouvellement pleine voie Fleurier-Buttes
L221 : Renouvellement  gare de Buttes 
L221 : PN Tivoli
L224 : Gare des Brenets</t>
  </si>
  <si>
    <t>Platelage PN, clôtures</t>
  </si>
  <si>
    <t>- 97% des installations avec renouvellement planifié entre 2024 et 2026 + 3% non renouvellé (L 224 avec fin d'exploitation en 2023).</t>
  </si>
  <si>
    <t xml:space="preserve">L215 : Etudes LC renouvellement faisceau de voies Neuchâtel Evole L221 : Renouvellement pleine voie Fleurier-Buttes
L221 : Renouvellement  gare de Buttes </t>
  </si>
  <si>
    <t xml:space="preserve">- Remplacement de câble porteur (L222)
- Mise en conformité de la LC (L221)
- Remplacement d'isolation de section (L215)
- Entretien courant
</t>
  </si>
  <si>
    <t xml:space="preserve">- 70% des installations avec renouvellement planifié entre 2024 et 2026 + 30% non renouvellé (L 224 avec fin d'exploitation en 2023).
</t>
  </si>
  <si>
    <t>'- Entretien (location moyens de levage)</t>
  </si>
  <si>
    <t>L222 : PAP SSt Petit Martel</t>
  </si>
  <si>
    <t>- Entretien général
- Refit mi-vie de la commande de protection de la SST de ALIT</t>
  </si>
  <si>
    <t>- 67% des installations avec renouvellement planifié entre 2024 et 2026 + 33% non renouvellé (L 224 avec fin d'exploitation en 2023).</t>
  </si>
  <si>
    <t>L221 : Transformateur et interupteur gare de Buttes</t>
  </si>
  <si>
    <t>L221 : Enclenchement de la gare de Buttes et transformation Fleurier</t>
  </si>
  <si>
    <t>- Entretien clim
- Entretien onduleur
- Echange batteries
- Prestations externe télécommande</t>
  </si>
  <si>
    <t>L215 :  Renouvellement du PN Bas-des-Allées IS
L215 : Etudes renouvellement IS L215 phases 32-33
L215 : Etudes IS renouvellement faisceau de voies Neuchâtel Evole phases 32-33
L215 : Bouclement ZSI127 / Adaptations RTE 20510.
L222 : Etudes premier déploiement IS L222 phases 32-33
L222 : Renouvellement du PN La Sagne-Eglise IS+Platelage
- Renouvellement de l'ouvrage et mise en conformité du treuil PN
L221 : Renouvellement du PN Tivoli
L221 : Adaptations TC gare de Buttes et block Fleurier-Buttes
L224 : Liaison Gare du Locle - halte du chalet</t>
  </si>
  <si>
    <t>- Entretien signaux (location moyens de levage)
- Nettoyage aiguilles
- Entretien + révision calâge AV
- Entretien demande d'arrêt
- Divers</t>
  </si>
  <si>
    <t>- 100% des installations avec renouvellement planifié en 2024.</t>
  </si>
  <si>
    <t>L221 : Installations BT de la gare Buttes</t>
  </si>
  <si>
    <t>-AO Télécommande ferroviaire
L221 : Installations BT de la gare Buttes</t>
  </si>
  <si>
    <t>L221 : Renouvellement de la gare de Buttes
L224 : Installation quai en gare du Locle</t>
  </si>
  <si>
    <t>Déneigement des quais 
Nettoyage des structures d'accueils
Remise en état de la signalétique</t>
  </si>
  <si>
    <t xml:space="preserve">L221 : Divers clotures </t>
  </si>
  <si>
    <t>Nettoyage des salles d'attentes
Remise en état de la signalétique
Clôtures</t>
  </si>
  <si>
    <t>Projets d'acquisition de 2 Tm. 1 Voie normale et 1 voie métrique</t>
  </si>
  <si>
    <t>Le premier Tm VM arrive en novembre 2023 et le second arrive en mars 2024.</t>
  </si>
  <si>
    <t>Aucun achat de Vhc en 2022</t>
  </si>
  <si>
    <t>Définition, Arcantel : KPI
Audit GMAO Vaganet, Bonne pratique Hexagone EAM
L221 : Renouvellement de la gare de Buttes
Aide conseil GMAO, TC-Team-Consult</t>
  </si>
  <si>
    <t xml:space="preserve"> : OMU/CJE selon données des RI"</t>
  </si>
  <si>
    <t>RAPRES 2021</t>
  </si>
  <si>
    <r>
      <t xml:space="preserve">Montants dépensés </t>
    </r>
    <r>
      <rPr>
        <b/>
        <sz val="41"/>
        <color rgb="FFFF0000"/>
        <rFont val="Calibri"/>
        <family val="2"/>
        <scheme val="minor"/>
      </rPr>
      <t>2021</t>
    </r>
  </si>
  <si>
    <r>
      <t xml:space="preserve">Montants planifiés </t>
    </r>
    <r>
      <rPr>
        <b/>
        <sz val="41"/>
        <color rgb="FFFF0000"/>
        <rFont val="Calibri"/>
        <family val="2"/>
        <scheme val="minor"/>
      </rPr>
      <t>2022</t>
    </r>
  </si>
  <si>
    <r>
      <t xml:space="preserve">Remarques liées aux dépenses </t>
    </r>
    <r>
      <rPr>
        <b/>
        <sz val="41"/>
        <color rgb="FFFF0000"/>
        <rFont val="Calibri"/>
        <family val="2"/>
        <scheme val="minor"/>
      </rPr>
      <t>2021</t>
    </r>
  </si>
  <si>
    <t>CONTRÔLE
Renou-
vellement</t>
  </si>
  <si>
    <t>RAPRES Renouvellement</t>
  </si>
  <si>
    <t>TOTAL
Renou-
vellement</t>
  </si>
  <si>
    <t>OMU</t>
  </si>
  <si>
    <t>VPH</t>
  </si>
  <si>
    <t>CAJ</t>
  </si>
  <si>
    <t>JFO</t>
  </si>
  <si>
    <t>RRO</t>
  </si>
  <si>
    <t>ESO</t>
  </si>
  <si>
    <t>MRU</t>
  </si>
  <si>
    <t>SSI</t>
  </si>
  <si>
    <t>YMO</t>
  </si>
  <si>
    <t>WBA</t>
  </si>
  <si>
    <t>SOU</t>
  </si>
  <si>
    <t>ETH</t>
  </si>
  <si>
    <t>OPI</t>
  </si>
  <si>
    <t>CONTRÔLE
Entretien
Fact.       &amp;         heures</t>
  </si>
  <si>
    <t>RAPRES entretien</t>
  </si>
  <si>
    <t>TOTAL
Entretien</t>
  </si>
  <si>
    <t>PKU &amp; PBA
Léo</t>
  </si>
  <si>
    <t>BMA</t>
  </si>
  <si>
    <t>RHO</t>
  </si>
  <si>
    <t>Renou-
vellement</t>
  </si>
  <si>
    <t>CLI</t>
  </si>
  <si>
    <t>CONTRÔLE
Entretien
Fact.   &amp;   heures</t>
  </si>
  <si>
    <t>Remise en état Buttes et Fleurier-Buttes + Couvet 
L215 - Dossiers PAP LHand  et RVB
L222 - Dossiers PAP Lhand  et renouvellement Infra</t>
  </si>
  <si>
    <t>Entretien général</t>
  </si>
  <si>
    <t>Ajout nouveau local technique à Buttes d'une valeure d'environ 400'000.-</t>
  </si>
  <si>
    <t>Finalisation remplacement pont Seyon
Réalisation PI Malakoff</t>
  </si>
  <si>
    <t>Etude tranchée couverte Reymond</t>
  </si>
  <si>
    <t>- Assainissement mur 222-0030-MS
- Assainissement paroi rocheuse 224-2046-DN (sur futur tracé bus)
- Divers dossiers PAP</t>
  </si>
  <si>
    <t>L215 - Dossiers PAP LHand  et RVB
L215 - AVs l'Evole
L222 - Dossiers PAP Lhand et renouvellement Infra</t>
  </si>
  <si>
    <t>- 67% des installations avec renouvellement planifié d'ici fin 2025 + 14% non renouvellé (L 224 avec fin d'exploitation en 2023).
- Solde fait l'objet de surveillance/maintenance accrue, à planifier dans CP 25-28</t>
  </si>
  <si>
    <t>2022: 42 kCHF + 40 kCHF à disposition pour lancement des études de renouvellement de la voie (L221 et L222), ventilés sur catégorie 210 (60 kCHF) et 220 (22 kCHF).</t>
  </si>
  <si>
    <t>L215 - AVs l'Evole
L222 - Dossiers PAP Lhand avec renouvellement d'installations de gares</t>
  </si>
  <si>
    <t>- 48% des installations avec renouvellement planifié d'ici fin 2025 + 19% non renouvellé (L 224 avec fin d'exploitation en 2023).
- Solde fait l'objet de surveillance/maintenance accrue, à planifier dans CP 25/28</t>
  </si>
  <si>
    <t>Finition Fleurier-Buttes + PV 704
L215 - Dossiers PAP LHand  et RVB</t>
  </si>
  <si>
    <t>Platelage PN</t>
  </si>
  <si>
    <t>- 64% des installations avec renouvellement planifié d'ici fin 2025.
- Solde fait l'objet de surveillance/maintenance accrue, à planifier dans CP 25-28</t>
  </si>
  <si>
    <t>L215 - Dossiers PAP LHand  et RVB
L222 - Dossiers PAP Lhand et renouvellement d'installations</t>
  </si>
  <si>
    <t>- Remise en état suite contrôle minutieux 2020
- Entretien courant</t>
  </si>
  <si>
    <t>- 44% des installations avec renouvellement planifié d'ici fin 2025 + 33% non renouvellé (L 224 avec fin d'exploitation en 2023).
- Solde fait l'objet de surveillance/maintenance accrue, à planifier dans CP 25-28</t>
  </si>
  <si>
    <t>2022: 40 kCHF à disposition pour divers et imprévus, ventilés sur catégories 310, 410, 510 et 610 (10 kCHF par catégorie) 
ETH 12.04.2022 : projets LC Trolleybus (financement tiers) non reportés dans cette tabelle.</t>
  </si>
  <si>
    <t>- Entretien (location moyens de levage)</t>
  </si>
  <si>
    <t>L215 - Mise en service SSt Auvernier et Champ-Bougin
L222 - Dossier PAP SSt Petit-Martel</t>
  </si>
  <si>
    <t>- Entretien SST</t>
  </si>
  <si>
    <t>100% non renouvellé (L 224 avec fin d'exploitation en 2023)</t>
  </si>
  <si>
    <t>Finition Buttes et Fleurier-Buttes
L215 - Dossiers PAP LHand  et RVB
L222 - Dossiers PAP Lhand et renouvellement Infra</t>
  </si>
  <si>
    <t>- Etablissements schémas
- Mise a terre divers</t>
  </si>
  <si>
    <t>L215 - Dossiers PAP LHand  et RVB
L222 - Dossiers PAP Lhand et renouvellement Infra</t>
  </si>
  <si>
    <t>100% des installations avec renouvellement planifié d'ici fin 2026</t>
  </si>
  <si>
    <t>2022: 40 kCHF à disposition pour divers et imprévus, ventilés sur catégories 310, 410, 510 et 610 (10 kCHF par catégorie)
'Valeure de remplacement:
'+2'000'000.- (enclenchement Buttes)</t>
  </si>
  <si>
    <t>Finition Buttes et Fleurier-Buttes
L215 - Dossiers PAP LHand  et RVB
L215 - Mise en service ZBMS
L215 - Etudes PN Evole
L215 - Coûts planifiés pour le PN Chézard
Toutes lignes - Diverses études/PAP de PN</t>
  </si>
  <si>
    <t>- Entretien signaux (location moyens de levage)
- Nettoyage aiguilles
- Protection anti-rongeurs (entréé câbles)
- Entretien demande d'arrêt
- Divers</t>
  </si>
  <si>
    <t>'- 80% des installations avec renouvellement planifié d'ici fin 2025 .
- Solde fait l'objet de surveillance/maintenance accrue, à planofier dans CP 25-28.</t>
  </si>
  <si>
    <t>Valeure de remplacement:
'+1'000'000.- (2 PN Tivoli)</t>
  </si>
  <si>
    <t>Etat des lieux plus précis en cours</t>
  </si>
  <si>
    <t xml:space="preserve">2022: 40 kCHF à disposition pour divers et imprévus, ventilés sur catégories 310, 410, 510 et 610 (10 kCHF par catégorie) </t>
  </si>
  <si>
    <t>Finiton Buttes et Fleurier-Buttes</t>
  </si>
  <si>
    <t>L215 - Dossiers PAP LHand  et RVB
L222 - Dossiers PAP Lhand</t>
  </si>
  <si>
    <t xml:space="preserve">Déneigement des quais </t>
  </si>
  <si>
    <t>Finition Buttes et Fleurier-Buttes
L215 - Dossiers PAP LHand  et RVB
L222 - Dossiers PAP Lhand et renouvellement Infra
L222 - Marquise CF</t>
  </si>
  <si>
    <t>Entretien général estimé à 135'000.- + façades gare de Buttes et WC publics estimé à 45'000.-</t>
  </si>
  <si>
    <t>Commande d'un Tm VN + 1 Tm VM</t>
  </si>
  <si>
    <t>Entretien léger</t>
  </si>
  <si>
    <t>- 50% des installations avec renouvellement planifié d'ici fin 2022 + 50% non renouvellé (L 224 avec fin d'exploitation en 2023).
- Solde fait l'objet de surveillance/maintenance accrue, à planifier dans CP 25-28</t>
  </si>
  <si>
    <t>Valeure de remplacement:
'+700'000.- (dumper RR+ pelle RR)</t>
  </si>
  <si>
    <t>Achat divers vhc routier infra de servive</t>
  </si>
  <si>
    <r>
      <t xml:space="preserve">Le montant de CHF 173200 corespond au 460700/391000 
</t>
    </r>
    <r>
      <rPr>
        <sz val="11"/>
        <color rgb="FFFF0000"/>
        <rFont val="Calibri"/>
        <family val="2"/>
        <scheme val="minor"/>
      </rPr>
      <t>Question: Que faire sous 391000 de l'amortissement Vhc (Cpte 480000), carburant (Cpte 451000), autres frais accidents (Cpte 402000, 421001, 421100, 470000)?</t>
    </r>
    <r>
      <rPr>
        <sz val="11"/>
        <rFont val="Calibri"/>
        <family val="2"/>
        <scheme val="minor"/>
      </rPr>
      <t xml:space="preserve">
</t>
    </r>
    <r>
      <rPr>
        <b/>
        <sz val="11"/>
        <color rgb="FF0070C0"/>
        <rFont val="Calibri"/>
        <family val="2"/>
        <scheme val="minor"/>
      </rPr>
      <t>Réponse OMU et suite à échange avec ARO : pas les amortissements =&gt; j'ai corrigé le montant en conséquence
Valeure de remplacement:
'+500'000.- (camion)</t>
    </r>
  </si>
  <si>
    <t>Sur ligne R15: 10 BIV (10 doubles)
Sur ligne R21: 4 BIV (2 simples + 2 doubles)</t>
  </si>
  <si>
    <t>Valeure de remplacement:
'+100'000.- (GestioRail)</t>
  </si>
  <si>
    <t xml:space="preserve">CONTRÔLE (renouv.) : </t>
  </si>
  <si>
    <t xml:space="preserve"> : OMU selon données des RI"</t>
  </si>
  <si>
    <t>RAPRES 2020</t>
  </si>
  <si>
    <t>Montants dépensés
en 2020</t>
  </si>
  <si>
    <t>Montants planifiés
pour 2021 (besoin)</t>
  </si>
  <si>
    <t>Remarques</t>
  </si>
  <si>
    <t>CONTRÒLE Entretien</t>
  </si>
  <si>
    <t>PKU &amp; PBA
Léo &amp; CJE</t>
  </si>
  <si>
    <t>Maçonneries locaux techniques pour projet ZBMS L215</t>
  </si>
  <si>
    <t xml:space="preserve">Entretien général
</t>
  </si>
  <si>
    <t xml:space="preserve"> Valeur de remplacement des bâtiments concernant le domaine ferroviaire sans les installations d'accueil : 40'500'000.-</t>
  </si>
  <si>
    <t>Remplacement pont Seyon</t>
  </si>
  <si>
    <t>4 parois rocheuses assainies
L222 - Etude de divers mûrs de soutènement entre La Sagne et Les Coeudres Est</t>
  </si>
  <si>
    <t>CHF 60000</t>
  </si>
  <si>
    <t>L215 - future Halte des Bains-des-Dames
L215 - Renouvellement superstructure sur OA pont Seyon
L222 - Etude du renouvellement de la voie La Sagne - Les Coeudres Est, y compris la gare de La Sagne et la nouvelle gare de service, et amélioration de la géométire de la VF au droit des futurs quai LHand</t>
  </si>
  <si>
    <t>- Entretien courant de la voie Y.C Meulage
- Bourrage/ballastage
- Ultrasons
- Curage de conduites
- Remplacement &amp; Eliminations traverses</t>
  </si>
  <si>
    <t>45km à 1'000.-/m (sans infrastructure)</t>
  </si>
  <si>
    <t>L215 - Renouvellement de l'AV1 à  la Place Pury
L215 - Augmentation durée de vie AVs de l'Evole</t>
  </si>
  <si>
    <t>63 AV à env. 100'000.-/pce + 200'000.-/main d'œuvre &amp; PP</t>
  </si>
  <si>
    <t xml:space="preserve">L215 - future halte Bains-des-Dames </t>
  </si>
  <si>
    <t>- Entretien courant</t>
  </si>
  <si>
    <t>- infrastructure (45km à 500.-/m) = 22'500'000.-
- PN (8 "super-routier" à 150'000.-/PN &amp; 40 "routiers" à 60'000.- &amp; 70 "agricoles" à 30'000.-/PN) = 5'700'000.-</t>
  </si>
  <si>
    <t xml:space="preserve">L215 - furture halte des Bains-des-Dames
L222 - Etude des gabarits et déplacment/renouvellement de mâts LC en lien avec les projets Lhand et le renouvellement La Sagne - Les Coeudres Est
</t>
  </si>
  <si>
    <t>- Réparation fondations
- Mise en conformité des terres L224
- Mise en conformité des terres L221
- Echange isolateur L221</t>
  </si>
  <si>
    <t>- De gros retards de remise en coformité (mises à terre) et entretien est à signaler
- 600.-/ml de LC</t>
  </si>
  <si>
    <t xml:space="preserve">Entretien annuel </t>
  </si>
  <si>
    <t>- Selon liste OFT, seul les sous-stations et interrupteurs sont à traiter car possédés par TransN.
Interrupteurs =&gt; valeur moyenne : 5'000Frs Nbr =&gt; 57</t>
  </si>
  <si>
    <t>L215 - Renouvelllement des sous-stations de Champ-Bougin et Auvernier</t>
  </si>
  <si>
    <t>- Selon liste OFT, seul les sous-stations et interrupteurs sont à traiter car possédés par TransN.
Sous-stations =&gt; valeur moyenne : 600'000Frs  Nbr =&gt; 14</t>
  </si>
  <si>
    <t>L215 - Mise en conformité de CRT à la Place Pury</t>
  </si>
  <si>
    <t>Suite à inventaire de RHO, il n'y a pas d'installations autres que "lignes de contact" (310), "interrupteur et postes de couplage" (351) et "sous-stations" (352) sur le réseau transN.</t>
  </si>
  <si>
    <t>L215 - Infrastructures ZBMS 
L222 - Assainissement câbles, chambres et caniveaux OA pont Seyon</t>
  </si>
  <si>
    <t>- Entretien courant divers
- Achats pièces de rechanges</t>
  </si>
  <si>
    <t>L215 - Travaux de GC Canalisations à câbles
L215 - Mise en conformité des accès aux quais intermédiaires larges
L215 - Déploiement nouvel RADN, signalétique et mise en conformité des signaux 
L215 - future halte des Bains-des-Dames
L222 - Assainissement administratif et domanial PN agricoles
L222 - Etudes pour mise en place IS et contrôle automatique marche des trains
L222 - Etudes réalisées pour les PN et les demandes d'arrêt facultatif en lien avec les projets Lhand</t>
  </si>
  <si>
    <t>- Peinture PN
- Lavage AV</t>
  </si>
  <si>
    <t>L215 - future halte des Bains-des-Dames</t>
  </si>
  <si>
    <t>Dépenses entretien 2020 sur 212200 (PKU), 212400 (PBA), 252100 (Léo) et 254200 (CJE)</t>
  </si>
  <si>
    <r>
      <t xml:space="preserve">Répartition 510/599 50/50 par OMU car comptes finances 510/599 pas existant. Commentaire générique par OMU
</t>
    </r>
    <r>
      <rPr>
        <sz val="11"/>
        <color rgb="FFFF0000"/>
        <rFont val="Calibri"/>
        <family val="2"/>
        <scheme val="minor"/>
      </rPr>
      <t>A résoudre pour RAPRES 2021</t>
    </r>
  </si>
  <si>
    <t>L215 - future halte des Bains-des-Dames et analyse de risques tracés parallèles
L222 - Etudes des projets Lhand</t>
  </si>
  <si>
    <t>Remplac. horloges des gares L215-221-222
Remplac. des bancs haltes et gares L215
L222 - Etudes des projets Lhand
L222 - Participation au projet du renouvellement de la marquise à La Chaux-de-Fonds</t>
  </si>
  <si>
    <t xml:space="preserve">Entretien général </t>
  </si>
  <si>
    <t>Valeur de remplacement des bâtiments ferroviaires avec les installations d'accueil : 10'000'000.-
Remplac. horloges des gares L215-221-222 : 53'000.-
Remplac. des bancs haltes et gares L215 : 53'100.-
Entretien général bât. Inst. d'accueil : 50'000.-</t>
  </si>
  <si>
    <t>La somme engagée en 2020 correspond au montant lié à l'engagement de la commande des 2 Tm chez STADLER</t>
  </si>
  <si>
    <t>100% des installations avec renouvellement planifié d'ici fin 2023</t>
  </si>
  <si>
    <r>
      <t xml:space="preserve">Le montant de CHF 26637 corespond au 460700/391000 
</t>
    </r>
    <r>
      <rPr>
        <sz val="11"/>
        <color rgb="FFFF0000"/>
        <rFont val="Calibri"/>
        <family val="2"/>
        <scheme val="minor"/>
      </rPr>
      <t>Question: Que faire sous 391000 de l'amortissement Vhc (Cpte 480000), carburant (Cpte 451000), autres frais accidents (Cpte 402000, 421001, 421100, 470000)</t>
    </r>
  </si>
  <si>
    <t xml:space="preserve"> : OMU via fichier "Renouvellement_infra_ferroviaires.xslx"</t>
  </si>
  <si>
    <t xml:space="preserve"> : les responsables budgets domaine Maintenance</t>
  </si>
  <si>
    <t xml:space="preserve"> : les responsables budgets domaine INVEST</t>
  </si>
  <si>
    <t>RAPRES 2019</t>
  </si>
  <si>
    <t>Montants
dépensés en 2019</t>
  </si>
  <si>
    <t>Montants planifiés pour 2020
(besoin)</t>
  </si>
  <si>
    <t>Remarques
Bref desciptif du renouvellement et entretien de l'année</t>
  </si>
  <si>
    <t>Commentaire (ne figurera pas dans le RAPRES)</t>
  </si>
  <si>
    <t>Oscar</t>
  </si>
  <si>
    <t>Simon</t>
  </si>
  <si>
    <t>Yann</t>
  </si>
  <si>
    <t>Willy</t>
  </si>
  <si>
    <t>Manu</t>
  </si>
  <si>
    <t>Solde</t>
  </si>
  <si>
    <t>Renouvellement</t>
  </si>
  <si>
    <t>Etudes renouvellement voie L222 La Sagne/Les Coeudres-Est</t>
  </si>
  <si>
    <t xml:space="preserve"> - Remplac. des horloges des gares L215-221-222
 - Remplac. des bancs haltes et gares L215
 - Rafraîch. de la halte des Frêtes L224</t>
  </si>
  <si>
    <t>Concerne valeur de remplacement selon liste et prix ECAP PKU ( Les montants sont arrondis ): 
 - Montants total de tous les bâtiments : 100'600'000.-             
 - Montant de tous les bâtiments hormis locatifs : 88'500'000.-
 - Montants des bâtiments concernat le domaine ferroviaire : 50'500'000.-</t>
  </si>
  <si>
    <t>Etude et PAP pont sur le Seyon (L215)
Etude et PAPtranchée couverte du Reymond (L222)</t>
  </si>
  <si>
    <t>Entretien général
Inspections</t>
  </si>
  <si>
    <t>Etude tunnel L224</t>
  </si>
  <si>
    <t>Etudes et PAP différents OA (MS, DN, etc …)
Renouvellement MS sur L224</t>
  </si>
  <si>
    <t>Renouvellement 300m de voie L221
Renouvellement partiel L222 et L224
Etude gare de Colombier
Etudes (sur option) Halte Bains-des-Dames
Etudes renouvellement voie L222 La Sagne/Les Coeudres-Est</t>
  </si>
  <si>
    <t>Etude renouvellement AV PP
Réalisation AV PP</t>
  </si>
  <si>
    <t>- Entretien courant platelages
- Bourage au PN
- Pose/dépose petit ballast comme platelage</t>
  </si>
  <si>
    <t>Etude Gare de Colombier
Etudes Halte des Bains des Dames</t>
  </si>
  <si>
    <t>- La valeur d'entretien ne tient pas compte du personnel (matériel seul)
- Seul de l'entretien curatif (dérangements) à été réalisé</t>
  </si>
  <si>
    <t>Etude projet sous-stations
Réalisation projet sous-stations</t>
  </si>
  <si>
    <t>- Contrat de maintenance pour les SST (Viteos)</t>
  </si>
  <si>
    <t>- Selon liste OFT, seul les sous-stations et interrupteurs sont à traiter car possédés par TransN (7 SST et  51 interrupteurs).
Sous-stations =&gt; valeur moyenne : 600'000Frs  Nbr =&gt; 14  
Interrupteurs =&gt; valeur moyenne : 5'000Frs Nbr =&gt; 57</t>
  </si>
  <si>
    <t>Etudes ZBMS L215 / PAP
Etude ZBMS L222</t>
  </si>
  <si>
    <t>- La valeur d'entretien ne tient pas compte du personnel (matériel seul)
- Contact de voie RSR + JIC
- Coffret de commande
- Relais K50
- Alimentation et batteries</t>
  </si>
  <si>
    <t>- La durée de vie d'un enclenchement est estimé à 40 ans (électromécanique), ceci constitue la base pour l'établissement de l'état actuel des installations</t>
  </si>
  <si>
    <t>- Demande d’arrêt de la Presta L221
- Etude projet PN
-Etude Gare de Colombier
- PN Bas-des-Allées
- Etudes PAP ZBMS et Exécution L215
- Etudes Halte des Bains des Dames (PN)
- Etude bloc de ligne L222</t>
  </si>
  <si>
    <t>- La valeur d'entretien ne tient pas compte du personnel (matériel seul)
- Un accent particulier a été mis sur l’entretien des PN en collaboration avec les fournisseurs</t>
  </si>
  <si>
    <t>- Le cycle de renouvellement des installations autres (ex. PN) est basé sur 30ans (moyenne établie sur les LCM des fournisseurs actuel)</t>
  </si>
  <si>
    <t>Etudes Halte des Bains des Dames</t>
  </si>
  <si>
    <t>Protection incendie gérée par RSQ ! Donc estimation des coûts globaux</t>
  </si>
  <si>
    <t xml:space="preserve"> Demande d’arrête de Champ Bougin L215 (déplacement du coffret de commande dans la nouvelle armoire)
Etude Gare de Colombier</t>
  </si>
  <si>
    <t>Diverses études LHand
Etudes Halte des Bains des Dames</t>
  </si>
  <si>
    <t>Déneigement</t>
  </si>
  <si>
    <t>Etat réel estimatif (OMU &amp; BMA) A confirmer? Par qui?</t>
  </si>
  <si>
    <t>Diverses études LHand</t>
  </si>
  <si>
    <t>Appel d'offre TM</t>
  </si>
  <si>
    <t>Acquisition différents véhicules de service</t>
  </si>
  <si>
    <t>Déménagement TC L215 et L221 à CHX-FDS</t>
  </si>
  <si>
    <t xml:space="preserve"> : à remplir par domaine Maintenance</t>
  </si>
  <si>
    <t xml:space="preserve"> : à remplir par domaine Développement</t>
  </si>
  <si>
    <t>RAPRES 2018</t>
  </si>
  <si>
    <t>Ø Durée d’utilisation</t>
  </si>
  <si>
    <t>Valeur de remplacement</t>
  </si>
  <si>
    <t>Montants
dépensés</t>
  </si>
  <si>
    <t>Montants
désirés
(besoin)</t>
  </si>
  <si>
    <t>→ Inspections principales en cours
→ Définition des propriétaires et des responsables d'entretien en cours
→ Vérification structurale détaillée du pont 215-0040-PO (Pont sur le Seyon)
→ Etudes pour remplacement du pont 215-0040-PO (Pont sur le Seyon)
→ Réévaluation des besoins annuels (renouvellement et entretien)</t>
  </si>
  <si>
    <t>→ Inspections principales en cours
→ Définition des propriétaires et des responsables d'entretien en cours
→ Réévaluation des besoins annuels (renouvellement et entretien)</t>
  </si>
  <si>
    <t>Passages supérieurs :
→ Inspections principales en cours
→ Définition des propriétaires et des responsables d'entretien en cours
→ Réévaluation des besoins annuels (renouvellement et entretien)
Passages inférieurs :
→ Inspections principales en cours
→ Définition des propriétaires et des responsables d'entretien en cours
→ Réévaluation des besoins annuels (renouvellement et entretien)</t>
  </si>
  <si>
    <t>- Etudes 3 gares et tronçon ligne 221
- Entretien courant de la voie
- Bourrage/ballastage
- Ultrasons
- Curage de conduites
- Elimination traverses</t>
  </si>
  <si>
    <t>- Etudes 3 gares et tronçon ligne 221
- Entretien courant des AV sur l'ensemble du réseau
- Soudage et rechargement certaines AV</t>
  </si>
  <si>
    <t>- Etudes 3 gares et tronçon ligne 221
- Entretien courant
- Pas de renouvellement</t>
  </si>
  <si>
    <t>Postes d’enclenchement  et
systèmes de contrôle de la marche des trains*</t>
  </si>
  <si>
    <t>Postes d'enclenchement:
- Finalisation et réception enclenchement Serrières (L215)
- Réexpertise TC L215
- Etudes 3 gares et tronçon ligne 221
- Entretien courant
Systèmes de contrôle de la marche des trains:
- Etude ZBMS L215
- Déploiement ETCS (COU, MÔT &amp; BUT)</t>
  </si>
  <si>
    <t>Données approximatives</t>
  </si>
  <si>
    <t>- Déploiement demandes d'arrêt L215
- Etudes adaptation quais au nouveau MR
- Etude quai halte la Presta L221
- Entretien courant
- Déneigement</t>
  </si>
  <si>
    <t>RAPRES 2017</t>
  </si>
  <si>
    <t>Montants désirés
(besoin)</t>
  </si>
  <si>
    <t>_1.Voie</t>
  </si>
  <si>
    <t>Appareils de voie, superstructure (*)</t>
  </si>
  <si>
    <t>- Remise en état de l'AV1 à l'Evole (renforcement et neutralisation)
- Entretien courant des AV sur l'ensemble du réseau
- Renouvellement de nombreux AV dans le cadre de projets de renouvellement de gares</t>
  </si>
  <si>
    <t xml:space="preserve">Passages à niveau </t>
  </si>
  <si>
    <t>- Pas de renouvellement de la voie au droit des PNs en 2017
- Entretien courant de la voie au droit des PNs</t>
  </si>
  <si>
    <t>Voie, superstructure: rails, traverses, ballast (*)</t>
  </si>
  <si>
    <t>L221: 
→ général: quantité importante de traverses en fin de vie, remplacement prévu lors du renouvellement des gares
→ 2017: renouvellement de 65m, infrastructure, sous-couche et ballast
L222: 
→ général: quantité importante de traverses en fin de vie
→ 2017: renouvellement de 230m, file de rail uniquement
L224: 
→ général: soins paliatifs réduits
→ 2017: remplacement de traverses et attaches sur 300m de voie
L215: châssis de voie bon, mais ballast type calcaire (mauvais maintien)
→ 2017: entretien courant de la ligne</t>
  </si>
  <si>
    <t>_2.Ouvrages_d’art</t>
  </si>
  <si>
    <t>Autres installations</t>
  </si>
  <si>
    <t>Autres installations :
- Ligne 215 : Dalle du parking Place Pury sous la station "Place Pury"
- Ligne 221 : Bassin en bord de voie au km 6.302 (in situ)
→ Complément de l'inventaire
→ Inspections principales en cours
→ Définition des propriétaires et des responsables d'entretien en cours
→ Réévaluation des besoins annuels (renouvellement et entretien)</t>
  </si>
  <si>
    <t>Murs de soutènement</t>
  </si>
  <si>
    <t>→ Complément de l'inventaire
→ Inspections principales en cours
→ Définition des propriétaires et des responsables d'entretien en cours
→ Surveillance géométrique et études pour remise en état complète mur 224-0022-MS
→ Réévaluation des besoins annuels (renouvellement et entretien)</t>
  </si>
  <si>
    <t>Ouvrages de protection</t>
  </si>
  <si>
    <t>→ Complément de l'inventaire
→ Inspections principales en cours
→ Définition des propriétaires et des responsables d'entretien en cours
→ Réévaluation des besoins annuels (renouvellement et entretien)</t>
  </si>
  <si>
    <t>Parois anti-bruit</t>
  </si>
  <si>
    <t>Parois rocheuses</t>
  </si>
  <si>
    <t>- La valeur de remplacement a été calculée en considérant que les parois rocheuses devaient être confortées sur l'ensemble de leur surface suite à une dégradation de celles-ci par l'érosion.
- /!\ La CE n'est pas déterminante pour la priorisation des interventions; c'est une combinaison entre le standard d'ampleur (qui prend en compte l'énergie des blocs) et de la classe d'état qui fait fois /!\
→ Inventaire et inspections
→ Travaux anticipés parois rocheuses 224-2049-DN et 224-2058-DN
→ Etudes pour remise en état complète en 2018 parois rocheuses 222-2006-DN, 222-2053-DN et 224-2055-DN
→ Définition des propriétaires et des responsables d'entretien en cours
→ Réévaluation des besoins annuels (renouvellement et entretien)</t>
  </si>
  <si>
    <t>Passages inférieurs</t>
  </si>
  <si>
    <t>Passages supérieurs</t>
  </si>
  <si>
    <t>Ponts (*)</t>
  </si>
  <si>
    <t>→ Complément de l'inventaire
→ Inspections principales en cours
→ Définition des propriétaires et des responsables d'entretien en cours
→ Vérification de la sécurité structurale pont 215-0040-PO (Pont sur le Seyon)
→ Réévaluation des besoins annuels (renouvellement et entretien)</t>
  </si>
  <si>
    <t>Tunnels (*)</t>
  </si>
  <si>
    <t>→ Complément de l'inventaire
→ Inspections principales en cours
→ Remises en état locales en travaux anticipés et relevés 3D tunnels 224-0019-TU (Monterban), 224-0025-TU (Rayat) et 224-0027-TU (Châtelard)
→ Planification du projet d'investigations sur tranchée couverte 222-0016-TU (TC Bas du Reymond)
→ Réévaluation des besoins annuels (renouvellement et entretien)</t>
  </si>
  <si>
    <t>Voûtages</t>
  </si>
  <si>
    <t>_3.Installations_courant_de_traction</t>
  </si>
  <si>
    <t>Installations de la ligne de contact (*)</t>
  </si>
  <si>
    <t>Rappel: 
- 2015: renouvellement de la LC dans le cadre du projet gare de Fleurier
- 2016: renouvellement ~ 1,3km LC à Serrières (chantier A5), incl. mâts et poste de distribution
- 2017: pas de renouvellement. Entretien courant.</t>
  </si>
  <si>
    <t xml:space="preserve">Remarque: L221: pas de sous-stations
- Entretien courant
- Poursuite des études pour renouvellement des sous-stations (L215, L222, et L224)
</t>
  </si>
  <si>
    <t>Contrôle de la marche des trains (*)</t>
  </si>
  <si>
    <t>Ces valeurs comprennent aussi le dispositif de contrôle des trains
ETCS: → L221
ZBMS: → L215 (migration ZSI127)</t>
  </si>
  <si>
    <t xml:space="preserve">Equipements des appareils de voie  </t>
  </si>
  <si>
    <t>- Entretien courant
Remarque:
Un grand nombre d'appareils de voie sera renouvelé en même temps que le renouvellement des gares (sur la L221 notamment).</t>
  </si>
  <si>
    <t xml:space="preserve">Installations de passage à niveau </t>
  </si>
  <si>
    <t>- Entretien courant
- Poursuite des études pour renouvellement de divers PN</t>
  </si>
  <si>
    <t xml:space="preserve">Postes d’enclenchement (*)  </t>
  </si>
  <si>
    <t>L215: télécommande IS
L215: renouvellement bloc IS de Serrières (finalisation)
L221: renouvellement IS gare Fleurier (finalisation)
L222 et L224: pas de bloc de ligne</t>
  </si>
  <si>
    <t>Installations d’accueil (*) :
-quais, marquises, passages inférieurs / supérieurs,
escaliers, rampes, ameublement de quai
(y c. équipement de salle d’attente, signalétique etc.)</t>
  </si>
  <si>
    <t>Inventaire encore actuellement en d'évaluation.
2016:
→ renouvell. des quais et des intallations d'accueil à Port de Serrières  (chantier A5)
→ renouvell. des quais et des intallations d'accueil à Serrières-Ruau  (chantier A5)
2017:
→ entretien courant
Remarque:
renouvellement des quais à futur dans le cadre des renouvellement des gares et de la mise en conformité LHand.</t>
  </si>
  <si>
    <t>_7.Véhicules</t>
  </si>
  <si>
    <t>Véhicules ferroviaires (*)</t>
  </si>
  <si>
    <t>Text</t>
  </si>
  <si>
    <t>RAPRES 2016</t>
  </si>
  <si>
    <t>- Renouvellement de 2 appareils de voie à Serrières (chantier N5)
- Entretien courant des AV sur l'ensemble du réseau</t>
  </si>
  <si>
    <t>- Renouvellement de voie au droit des PNs à Serrières (chantier A5)
- Entretien courant de la voie au droit des PNs</t>
  </si>
  <si>
    <t>L221: quantité importante de traverses en fin de vie
→ 2015: renouvellement gare de Fleurier + renouvellement Couvet-Môtiers (390m)
L222: quantité importante de traverses en fin de vie
L224: soins paliatifs réduits
L215: châssis voie bon, mais ballast calcaire (mauvais maintien)
→ 2016: renouvellement d'env. 1'300m de voie à Serrières (chantier A5)</t>
  </si>
  <si>
    <t xml:space="preserve">Ouvrages de protection </t>
  </si>
  <si>
    <t>Ouvrages de soutènement au-dessus du niveau du rail
→ Petits entretiens
→ Inventaire et inspections en cours (montants actuels estimatifs)
→ Premières évaluations des besoins courant 2017 (renouvellement et entretien)</t>
  </si>
  <si>
    <t>Ouvrages de soutènement</t>
  </si>
  <si>
    <t>Ouvrages de soutènement sous le niveau du rail (murs et autres)
→ Petits entretiens
→ Inventaire et inspections en cours (montants actuels estimatifs)
→ Premières évaluations des besoins courant 2017 (renouvellement et entretien)</t>
  </si>
  <si>
    <t>Ponts, passages inférieurs et passages supérieurs
Rappel: Remplacement du pont sur le Buttes à Fleurier en 2015 (dans le projet du renouvellement de la gare)
→ Petits entretiens
→ Inventaire et inspections en cours (montants actuels estimatifs)
→ Premières évaluations des besoins courant 2017 (renouvellement et entretien)</t>
  </si>
  <si>
    <t>Tunnels, tranchées couvertes
→ Petits entretiens
→ Inventaire et inspections en cours (montants actuels estimatifs)
→ Premières évaluations des besoins courant 2017 (renouvellement et entretien)</t>
  </si>
  <si>
    <t>Rappel: 2015: → renouvellement de la LC dans le cadre du projet gare de Fleurier
→ 2016 Renouvellement d'env. 1'300m de LC à Serrières (chantier A5), mâts et poste de distribution inclus.</t>
  </si>
  <si>
    <t>Remarque: L221: pas de sous-stations
- Entretien courant
- Études pour renouvellement des sous-stations</t>
  </si>
  <si>
    <t>Renouvellement des équipements des AV en gare de Serrières (chantier A5)</t>
  </si>
  <si>
    <t>- Renouvellement de 2x PNs à La Presta (L221)
- Renouvellement de divers PNs en gare de Serrières (projet chantier A5)
- Solde travaux assainissement PNs (L221, L222)</t>
  </si>
  <si>
    <t>L215: télécommande IS
L215: renouvellement bloc IS de Serrières (chantier A5)
L221: renouvellement IS gare Fleurier (projet gare Fleurier)
L222 et L224: pas de bloc de ligne</t>
  </si>
  <si>
    <t>Inventaire encore actuellement en d'évaluation.
→ renouvell. des quais et des intallations d'accueil à Port de Serrières  (chantier A5)
→ renouvell. des quais et des intallations d'accueil à Serrières-Ruau  (chantier A5)</t>
  </si>
  <si>
    <t>RAPRES 2015</t>
  </si>
  <si>
    <t>- Remplacement AV n°20 + multiples AV en gare à Fleurier
- Remplacement 2x AV lors de la réfection du tronçon NE Place Pury - L'Evole (L215)</t>
  </si>
  <si>
    <t>- Renouvellement niveau rail-route du PN Tivoli (partie IS en 2018)
- Renouvellement divers PNs dans le cadre du projet de la gare de Fleurier
- Renouvellement niveau rail-route PN Evole (avril 2015)</t>
  </si>
  <si>
    <t>L221: quantité importante de traverses en fin de vie
→ 2015: renouvellement gare de Fleurier + renouvellement Couvet-Môtiers (390m)
L222: quantité importante de traverses en fin de vie
L224: soins paliatifs réduits
L215: châssis voie bon, mais ballast calcaire (mauvais maintien)</t>
  </si>
  <si>
    <t>Ouvrages de soutènement au-dessus du niveau du rail</t>
  </si>
  <si>
    <t>Ouvrages de soutènement sous le niveau du rail (murs et autres)</t>
  </si>
  <si>
    <t>Ponts, passages inférieurs et passages supérieurs
2015: → Remplacement du pont sur le Buttes à Fleurier (dans projet de gare)</t>
  </si>
  <si>
    <t>Tunnels, tranchées couvertes</t>
  </si>
  <si>
    <t>2015: → renouvellement de la LC dans le cadre du projet gare de Fleurier</t>
  </si>
  <si>
    <t>L221: pas de sous-stations</t>
  </si>
  <si>
    <t>Renouvellement des équipements des AV en gare de Fleurier (projet gare Fleurier)</t>
  </si>
  <si>
    <t>- Renouvellement du PN Val Fleurier (L221)
- Renouvellement de divers PNs en gare de Fleurier (projet gare de Fleurier)</t>
  </si>
  <si>
    <t>L215: télécommande IS
L215: renouvellement bloc IS de Serrières
L221: renouvellement IS gare Fleurier (projet gare Fleurier)
L222 et L224: pas de bloc de ligne</t>
  </si>
  <si>
    <t>Inventaire encore actuellement en d'évaluation.
L221: renouvellement des quais et des intallations d'accueil à Fleurier (projet gare)</t>
  </si>
  <si>
    <t>RAPRES 2014</t>
  </si>
  <si>
    <t>L221: quantité importante de travserses en fin de vie
L222: quantité importante de travserses en fin de vie
L224: soins paliatifs réduits
L215: châssis voie bon, mais ballast calcaire (mauvais maintien)</t>
  </si>
  <si>
    <t>Ponts, passages inférieurs et passages supérieurs</t>
  </si>
  <si>
    <t/>
  </si>
  <si>
    <t>Ces valeurs comprennent aussi le dispositif de contrôle des trains</t>
  </si>
  <si>
    <t>L222 et L224: pas de bloc de ligne</t>
  </si>
  <si>
    <t>Données pas disponibles actuellement. Inventaire et ré-évaluation en cours.</t>
  </si>
  <si>
    <t>Bref descriptif du renouvellement de l'année</t>
  </si>
  <si>
    <t>Interrupteurs et postes de couplage</t>
  </si>
  <si>
    <r>
      <t xml:space="preserve">RAPRES </t>
    </r>
    <r>
      <rPr>
        <b/>
        <sz val="72"/>
        <color rgb="FFFF0000"/>
        <rFont val="Arial"/>
        <family val="2"/>
      </rPr>
      <t>2025</t>
    </r>
  </si>
  <si>
    <r>
      <t xml:space="preserve">Montants dépensés </t>
    </r>
    <r>
      <rPr>
        <b/>
        <sz val="26"/>
        <color rgb="FFFF0000"/>
        <rFont val="Arial"/>
        <family val="2"/>
      </rPr>
      <t>2025</t>
    </r>
  </si>
  <si>
    <r>
      <t xml:space="preserve">Montants planifiés </t>
    </r>
    <r>
      <rPr>
        <b/>
        <sz val="26"/>
        <color rgb="FFFF0000"/>
        <rFont val="Arial"/>
        <family val="2"/>
      </rPr>
      <t>2026</t>
    </r>
  </si>
  <si>
    <r>
      <t xml:space="preserve">Remarques liées aux dépenses </t>
    </r>
    <r>
      <rPr>
        <b/>
        <sz val="41"/>
        <color rgb="FFFF0000"/>
        <rFont val="Arial"/>
        <family val="2"/>
      </rPr>
      <t>2025</t>
    </r>
  </si>
  <si>
    <r>
      <rPr>
        <b/>
        <sz val="16"/>
        <color theme="1"/>
        <rFont val="Arial"/>
        <family val="2"/>
      </rPr>
      <t>Commentaires si classe d'état réel 5</t>
    </r>
    <r>
      <rPr>
        <sz val="9"/>
        <color theme="1"/>
        <rFont val="Arial"/>
        <family val="2"/>
      </rPr>
      <t xml:space="preserve">
</t>
    </r>
    <r>
      <rPr>
        <sz val="10"/>
        <color theme="1"/>
        <rFont val="Arial"/>
        <family val="2"/>
      </rPr>
      <t>Les installations de la classe d’état 5 doivent être présentées et justifiées séparément, en indiquant dans la mesure du possible les mesures programmées (une présentation globale est possible). Si aucune mesure n’est prise, cette décision doit être justifiée.</t>
    </r>
  </si>
  <si>
    <r>
      <rPr>
        <b/>
        <sz val="11"/>
        <color rgb="FF000000"/>
        <rFont val="Arial"/>
        <family val="2"/>
      </rPr>
      <t xml:space="preserve">1) Vhc et machines auxil entretien LC fer_2024/5/0 
</t>
    </r>
    <r>
      <rPr>
        <sz val="11"/>
        <color rgb="FF000000"/>
        <rFont val="Arial"/>
        <family val="2"/>
      </rPr>
      <t xml:space="preserve">=&gt; Etutes d'achat pour CP 25-28
=&gt; Cmde 2025, livraison 2025 : 1 Remorque 3.5 T (737)
=&gt; Cmde 2025, livraison 2026 : 1 Cam.grue (699) + 1 Remorque surb.(733) + 1 Nacelle C14 (xxx) + 2 Vhc utilitaires (801+802) 
</t>
    </r>
    <r>
      <rPr>
        <b/>
        <sz val="11"/>
        <color rgb="FF000000"/>
        <rFont val="Arial"/>
        <family val="2"/>
      </rPr>
      <t xml:space="preserve">2) Vhc service (25-28) - toutes lignes_2023/0/2 
</t>
    </r>
    <r>
      <rPr>
        <sz val="11"/>
        <color rgb="FF000000"/>
        <rFont val="Arial"/>
        <family val="2"/>
      </rPr>
      <t xml:space="preserve">=&gt; Etudes d'achat pour CP 25-28
=&gt; Cmde 2024, livraison 2025 : 2 Vhc utilitaires (798+799)
=&gt; Cmde 2024, livraison 2026 : 1 Vhc Spéciaux (781)
=&gt; Cmde 2025, livraiosn 2025 : 1 Tracteur (709) + 1 remorque (732)
=&gt; Cmde 2025, livraison 2026 : 3 Vhc fourgons utilitaires (800+810+811) + 2 Vhc utilitaires (804+805) + Vhc spécial (814)
</t>
    </r>
    <r>
      <rPr>
        <b/>
        <sz val="11"/>
        <color rgb="FF000000"/>
        <rFont val="Arial"/>
        <family val="2"/>
      </rPr>
      <t xml:space="preserve">3) Eliminations 2025
</t>
    </r>
    <r>
      <rPr>
        <sz val="11"/>
        <color rgb="FF000000"/>
        <rFont val="Arial"/>
        <family val="2"/>
      </rPr>
      <t xml:space="preserve">=&gt; 3 remorques anciennes et plus utilisée (10, 35 et 734)
</t>
    </r>
  </si>
  <si>
    <r>
      <rPr>
        <b/>
        <sz val="11"/>
        <color rgb="FF000000"/>
        <rFont val="Arial"/>
        <family val="2"/>
      </rPr>
      <t>Outil gestioRail</t>
    </r>
    <r>
      <rPr>
        <sz val="11"/>
        <color rgb="FF000000"/>
        <rFont val="Arial"/>
        <family val="2"/>
      </rPr>
      <t xml:space="preserve"> : Développement modules 000, 500 et 700 + Authentification ID</t>
    </r>
  </si>
  <si>
    <r>
      <t xml:space="preserve"> : Responsables budgets domaine </t>
    </r>
    <r>
      <rPr>
        <b/>
        <sz val="11"/>
        <color rgb="FFFF0000"/>
        <rFont val="Arial"/>
        <family val="2"/>
      </rPr>
      <t>Maintenance</t>
    </r>
  </si>
  <si>
    <r>
      <t xml:space="preserve"> : Responsables budgets domaine </t>
    </r>
    <r>
      <rPr>
        <b/>
        <sz val="11"/>
        <color rgb="FFFF0000"/>
        <rFont val="Arial"/>
        <family val="2"/>
      </rPr>
      <t>INVEST</t>
    </r>
  </si>
  <si>
    <r>
      <t xml:space="preserve"> : </t>
    </r>
    <r>
      <rPr>
        <b/>
        <sz val="11"/>
        <rFont val="Arial"/>
        <family val="2"/>
      </rPr>
      <t>MFU</t>
    </r>
  </si>
  <si>
    <r>
      <t xml:space="preserve">RAPRES </t>
    </r>
    <r>
      <rPr>
        <b/>
        <sz val="72"/>
        <color rgb="FFFF0000"/>
        <rFont val="Arial"/>
        <family val="2"/>
      </rPr>
      <t>2024</t>
    </r>
  </si>
  <si>
    <r>
      <t xml:space="preserve">Montants dépensés </t>
    </r>
    <r>
      <rPr>
        <b/>
        <sz val="26"/>
        <color rgb="FFFF0000"/>
        <rFont val="Arial"/>
        <family val="2"/>
      </rPr>
      <t>2024</t>
    </r>
  </si>
  <si>
    <r>
      <t xml:space="preserve">Montants planifiés </t>
    </r>
    <r>
      <rPr>
        <b/>
        <sz val="26"/>
        <color rgb="FFFF0000"/>
        <rFont val="Arial"/>
        <family val="2"/>
      </rPr>
      <t>2025</t>
    </r>
  </si>
  <si>
    <r>
      <t xml:space="preserve">Remarques liées aux dépenses </t>
    </r>
    <r>
      <rPr>
        <b/>
        <sz val="41"/>
        <color rgb="FFFF0000"/>
        <rFont val="Arial"/>
        <family val="2"/>
      </rPr>
      <t>2024</t>
    </r>
  </si>
  <si>
    <r>
      <t xml:space="preserve">1) Vhc et machines auxil entretien </t>
    </r>
    <r>
      <rPr>
        <b/>
        <sz val="11"/>
        <rFont val="Arial"/>
        <family val="2"/>
      </rPr>
      <t>LC fer_2024/5/0</t>
    </r>
    <r>
      <rPr>
        <sz val="11"/>
        <rFont val="Arial"/>
        <family val="2"/>
      </rPr>
      <t xml:space="preserve"> =&gt; Etutes d'achat pour CP 25-28
2) Vhc service (25-28) -</t>
    </r>
    <r>
      <rPr>
        <b/>
        <sz val="11"/>
        <rFont val="Arial"/>
        <family val="2"/>
      </rPr>
      <t xml:space="preserve"> toutes lignes_2023/0/2</t>
    </r>
    <r>
      <rPr>
        <sz val="11"/>
        <rFont val="Arial"/>
        <family val="2"/>
      </rPr>
      <t xml:space="preserve"> =&gt; Etudes d'achat Vhc et anticipation d'achat Vhc pour CP 25-28
- 2024 Cmde de 2 Vhc service (719+769) + 1 Vhc spéciaux (728) afin de remplacer 3 vhc identifiés classe 4 (RAPRES 23)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</si>
</sst>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CHF]\ #,##0"/>
    <numFmt numFmtId="165" formatCode="_ [$CHF]\ * #,##0_ ;_ [$CHF]\ * \-#,##0_ ;_ [$CHF]\ * &quot;-&quot;_ ;_ @_ "/>
    <numFmt numFmtId="166" formatCode="&quot;CHF&quot;\ #,##0.00"/>
    <numFmt numFmtId="167" formatCode="#,##0\ [$CHF]"/>
    <numFmt numFmtId="168" formatCode="#,##0\ &quot;CHF&quot;"/>
  </numFmts>
  <fonts count="77" x14ac:knownFonts="1">
    <font>
      <sz val="11"/>
      <color theme="1"/>
      <name val="Calibri"/>
      <family val="2"/>
      <scheme val="minor"/>
    </font>
    <font>
      <sz val="12"/>
      <color theme="1"/>
      <name val="Calibri"/>
      <family val="2"/>
      <scheme val="minor"/>
    </font>
    <font>
      <b/>
      <sz val="12"/>
      <color theme="1"/>
      <name val="Calibri"/>
      <family val="2"/>
      <scheme val="minor"/>
    </font>
    <font>
      <b/>
      <sz val="48"/>
      <color theme="1"/>
      <name val="Calibri"/>
      <family val="2"/>
      <scheme val="minor"/>
    </font>
    <font>
      <sz val="11"/>
      <color theme="1"/>
      <name val="Calibri"/>
      <family val="2"/>
      <scheme val="minor"/>
    </font>
    <font>
      <sz val="10"/>
      <name val="Arial"/>
      <family val="2"/>
    </font>
    <font>
      <sz val="20"/>
      <color rgb="FFFF0000"/>
      <name val="Calibri"/>
      <family val="2"/>
      <scheme val="minor"/>
    </font>
    <font>
      <sz val="11"/>
      <name val="Calibri"/>
      <family val="2"/>
      <scheme val="minor"/>
    </font>
    <font>
      <sz val="11"/>
      <name val="Calibri"/>
      <family val="2"/>
    </font>
    <font>
      <sz val="14"/>
      <name val="Calibri"/>
      <family val="2"/>
      <scheme val="minor"/>
    </font>
    <font>
      <b/>
      <sz val="14"/>
      <name val="Calibri"/>
      <family val="2"/>
      <scheme val="minor"/>
    </font>
    <font>
      <b/>
      <sz val="16"/>
      <color theme="1"/>
      <name val="Calibri"/>
      <family val="2"/>
      <scheme val="minor"/>
    </font>
    <font>
      <sz val="8"/>
      <name val="Calibri"/>
      <family val="2"/>
      <scheme val="minor"/>
    </font>
    <font>
      <sz val="28"/>
      <color rgb="FFFF0000"/>
      <name val="Calibri"/>
      <family val="2"/>
      <scheme val="minor"/>
    </font>
    <font>
      <b/>
      <sz val="11"/>
      <name val="Calibri"/>
      <family val="2"/>
      <scheme val="minor"/>
    </font>
    <font>
      <sz val="11"/>
      <color rgb="FFFF0000"/>
      <name val="Calibri"/>
      <family val="2"/>
      <scheme val="minor"/>
    </font>
    <font>
      <b/>
      <i/>
      <sz val="16"/>
      <color theme="0" tint="-0.49995422223578601"/>
      <name val="Calibri"/>
      <family val="2"/>
      <scheme val="minor"/>
    </font>
    <font>
      <b/>
      <sz val="11"/>
      <color rgb="FFFF0000"/>
      <name val="Calibri"/>
      <family val="2"/>
      <scheme val="minor"/>
    </font>
    <font>
      <b/>
      <sz val="14"/>
      <color rgb="FFFF0000"/>
      <name val="Calibri"/>
      <family val="2"/>
      <scheme val="minor"/>
    </font>
    <font>
      <sz val="14"/>
      <color rgb="FFFF0000"/>
      <name val="Calibri"/>
      <family val="2"/>
      <scheme val="minor"/>
    </font>
    <font>
      <b/>
      <sz val="16"/>
      <color rgb="FFFF0000"/>
      <name val="Calibri"/>
      <family val="2"/>
      <scheme val="minor"/>
    </font>
    <font>
      <b/>
      <sz val="18"/>
      <color rgb="FFFF0000"/>
      <name val="Calibri"/>
      <family val="2"/>
      <scheme val="minor"/>
    </font>
    <font>
      <b/>
      <sz val="20"/>
      <color theme="1"/>
      <name val="Calibri"/>
      <family val="2"/>
      <scheme val="minor"/>
    </font>
    <font>
      <b/>
      <sz val="60"/>
      <color theme="0"/>
      <name val="Calibri"/>
      <family val="2"/>
      <scheme val="minor"/>
    </font>
    <font>
      <sz val="10"/>
      <color theme="1"/>
      <name val="Calibri"/>
      <family val="2"/>
      <scheme val="minor"/>
    </font>
    <font>
      <sz val="9"/>
      <color theme="1"/>
      <name val="Calibri"/>
      <family val="2"/>
      <scheme val="minor"/>
    </font>
    <font>
      <b/>
      <sz val="22"/>
      <color theme="1"/>
      <name val="Calibri"/>
      <family val="2"/>
      <scheme val="minor"/>
    </font>
    <font>
      <b/>
      <sz val="11"/>
      <color theme="1"/>
      <name val="Calibri"/>
      <family val="2"/>
      <scheme val="minor"/>
    </font>
    <font>
      <b/>
      <sz val="11"/>
      <color rgb="FF0070C0"/>
      <name val="Calibri"/>
      <family val="2"/>
      <scheme val="minor"/>
    </font>
    <font>
      <b/>
      <sz val="41"/>
      <color theme="1"/>
      <name val="Calibri"/>
      <family val="2"/>
      <scheme val="minor"/>
    </font>
    <font>
      <b/>
      <sz val="41"/>
      <color rgb="FFFF0000"/>
      <name val="Calibri"/>
      <family val="2"/>
      <scheme val="minor"/>
    </font>
    <font>
      <b/>
      <sz val="16"/>
      <name val="Calibri"/>
      <family val="2"/>
      <scheme val="minor"/>
    </font>
    <font>
      <sz val="16"/>
      <name val="Calibri"/>
      <family val="2"/>
      <scheme val="minor"/>
    </font>
    <font>
      <b/>
      <sz val="26"/>
      <color theme="1"/>
      <name val="Calibri"/>
      <family val="2"/>
      <scheme val="minor"/>
    </font>
    <font>
      <b/>
      <sz val="26"/>
      <color rgb="FFFF0000"/>
      <name val="Calibri"/>
      <family val="2"/>
      <scheme val="minor"/>
    </font>
    <font>
      <b/>
      <sz val="18"/>
      <color theme="1"/>
      <name val="Calibri"/>
      <family val="2"/>
      <scheme val="minor"/>
    </font>
    <font>
      <b/>
      <sz val="72"/>
      <color theme="0"/>
      <name val="Calibri"/>
      <family val="2"/>
      <scheme val="minor"/>
    </font>
    <font>
      <b/>
      <sz val="72"/>
      <color rgb="FFFF0000"/>
      <name val="Calibri"/>
      <family val="2"/>
      <scheme val="minor"/>
    </font>
    <font>
      <u/>
      <sz val="11"/>
      <name val="Calibri"/>
      <family val="2"/>
      <scheme val="minor"/>
    </font>
    <font>
      <u/>
      <sz val="9"/>
      <color theme="9" tint="-0.249977111117893"/>
      <name val="Calibri"/>
      <family val="2"/>
      <scheme val="minor"/>
    </font>
    <font>
      <sz val="14"/>
      <color rgb="FF82BC00"/>
      <name val="Arial"/>
      <family val="2"/>
    </font>
    <font>
      <sz val="8"/>
      <color rgb="FF484848"/>
      <name val="Arial"/>
      <family val="2"/>
    </font>
    <font>
      <sz val="14"/>
      <color rgb="FF484848"/>
      <name val="Arial"/>
      <family val="2"/>
    </font>
    <font>
      <b/>
      <sz val="8"/>
      <color rgb="FF484848"/>
      <name val="Arial"/>
      <family val="2"/>
    </font>
    <font>
      <sz val="11"/>
      <color rgb="FF484848"/>
      <name val="Arial"/>
      <family val="2"/>
    </font>
    <font>
      <b/>
      <sz val="11"/>
      <color rgb="FF484848"/>
      <name val="Arial"/>
      <family val="2"/>
    </font>
    <font>
      <sz val="8"/>
      <color rgb="FFFF0000"/>
      <name val="Arial"/>
      <family val="2"/>
    </font>
    <font>
      <sz val="8"/>
      <color rgb="FF000000"/>
      <name val="Arial"/>
      <family val="2"/>
    </font>
    <font>
      <b/>
      <sz val="8"/>
      <color rgb="FF000000"/>
      <name val="Arial"/>
      <family val="2"/>
    </font>
    <font>
      <sz val="8"/>
      <color rgb="FF548235"/>
      <name val="Arial"/>
      <family val="2"/>
    </font>
    <font>
      <b/>
      <sz val="72"/>
      <color theme="0"/>
      <name val="Arial"/>
      <family val="2"/>
    </font>
    <font>
      <b/>
      <sz val="72"/>
      <color rgb="FFFF0000"/>
      <name val="Arial"/>
      <family val="2"/>
    </font>
    <font>
      <b/>
      <sz val="16"/>
      <color theme="1"/>
      <name val="Arial"/>
      <family val="2"/>
    </font>
    <font>
      <b/>
      <sz val="18"/>
      <color theme="1"/>
      <name val="Arial"/>
      <family val="2"/>
    </font>
    <font>
      <b/>
      <sz val="26"/>
      <color theme="1"/>
      <name val="Arial"/>
      <family val="2"/>
    </font>
    <font>
      <b/>
      <sz val="26"/>
      <color rgb="FFFF0000"/>
      <name val="Arial"/>
      <family val="2"/>
    </font>
    <font>
      <b/>
      <sz val="41"/>
      <color theme="1"/>
      <name val="Arial"/>
      <family val="2"/>
    </font>
    <font>
      <b/>
      <sz val="41"/>
      <color rgb="FFFF0000"/>
      <name val="Arial"/>
      <family val="2"/>
    </font>
    <font>
      <sz val="28"/>
      <color rgb="FFFF0000"/>
      <name val="Arial"/>
      <family val="2"/>
    </font>
    <font>
      <sz val="11"/>
      <color theme="1"/>
      <name val="Arial"/>
      <family val="2"/>
    </font>
    <font>
      <b/>
      <sz val="12"/>
      <color theme="1"/>
      <name val="Arial"/>
      <family val="2"/>
    </font>
    <font>
      <b/>
      <sz val="16"/>
      <name val="Arial"/>
      <family val="2"/>
    </font>
    <font>
      <sz val="9"/>
      <color theme="1"/>
      <name val="Arial"/>
      <family val="2"/>
    </font>
    <font>
      <sz val="10"/>
      <color theme="1"/>
      <name val="Arial"/>
      <family val="2"/>
    </font>
    <font>
      <sz val="11"/>
      <name val="Arial"/>
      <family val="2"/>
    </font>
    <font>
      <b/>
      <sz val="11"/>
      <name val="Arial"/>
      <family val="2"/>
    </font>
    <font>
      <sz val="11"/>
      <color rgb="FF000000"/>
      <name val="Arial"/>
      <family val="2"/>
    </font>
    <font>
      <b/>
      <sz val="11"/>
      <color rgb="FF000000"/>
      <name val="Arial"/>
      <family val="2"/>
    </font>
    <font>
      <sz val="14"/>
      <name val="Arial"/>
      <family val="2"/>
    </font>
    <font>
      <b/>
      <sz val="14"/>
      <name val="Arial"/>
      <family val="2"/>
    </font>
    <font>
      <b/>
      <sz val="14"/>
      <color rgb="FFFF0000"/>
      <name val="Arial"/>
      <family val="2"/>
    </font>
    <font>
      <b/>
      <sz val="20"/>
      <color theme="1"/>
      <name val="Arial"/>
      <family val="2"/>
    </font>
    <font>
      <b/>
      <sz val="18"/>
      <color rgb="FFFF0000"/>
      <name val="Arial"/>
      <family val="2"/>
    </font>
    <font>
      <b/>
      <sz val="16"/>
      <color rgb="FFFF0000"/>
      <name val="Arial"/>
      <family val="2"/>
    </font>
    <font>
      <b/>
      <sz val="11"/>
      <color theme="1"/>
      <name val="Arial"/>
      <family val="2"/>
    </font>
    <font>
      <b/>
      <sz val="11"/>
      <color rgb="FFFF0000"/>
      <name val="Arial"/>
      <family val="2"/>
    </font>
    <font>
      <b/>
      <sz val="14"/>
      <color theme="1"/>
      <name val="Arial"/>
      <family val="2"/>
    </font>
  </fonts>
  <fills count="21">
    <fill>
      <patternFill patternType="none"/>
    </fill>
    <fill>
      <patternFill patternType="gray125"/>
    </fill>
    <fill>
      <patternFill patternType="solid">
        <fgColor theme="0" tint="-0.24994659260841701"/>
        <bgColor indexed="64"/>
      </patternFill>
    </fill>
    <fill>
      <patternFill patternType="solid">
        <fgColor theme="0" tint="-0.49995422223578601"/>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5" tint="0.39994506668294322"/>
        <bgColor indexed="64"/>
      </patternFill>
    </fill>
    <fill>
      <patternFill patternType="solid">
        <fgColor rgb="FFFFE699"/>
        <bgColor indexed="64"/>
      </patternFill>
    </fill>
    <fill>
      <patternFill patternType="solid">
        <fgColor rgb="FFF2F2F2"/>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4" tint="0.59999389629810485"/>
        <bgColor indexed="64"/>
      </patternFill>
    </fill>
    <fill>
      <patternFill patternType="solid">
        <fgColor rgb="FF92D050"/>
        <bgColor indexed="64"/>
      </patternFill>
    </fill>
    <fill>
      <patternFill patternType="solid">
        <fgColor rgb="FFCC99FF"/>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1"/>
        <bgColor indexed="64"/>
      </patternFill>
    </fill>
    <fill>
      <patternFill patternType="solid">
        <fgColor rgb="FF66FFFF"/>
        <bgColor indexed="64"/>
      </patternFill>
    </fill>
    <fill>
      <patternFill patternType="solid">
        <fgColor rgb="FFDDEBF7"/>
        <bgColor rgb="FF000000"/>
      </patternFill>
    </fill>
  </fills>
  <borders count="11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right style="thin">
        <color indexed="64"/>
      </right>
      <top style="thin">
        <color indexed="64"/>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indexed="64"/>
      </left>
      <right/>
      <top style="medium">
        <color rgb="FF000000"/>
      </top>
      <bottom/>
      <diagonal/>
    </border>
    <border>
      <left style="medium">
        <color indexed="64"/>
      </left>
      <right style="medium">
        <color rgb="FF000000"/>
      </right>
      <top style="medium">
        <color rgb="FF000000"/>
      </top>
      <bottom/>
      <diagonal/>
    </border>
    <border>
      <left style="medium">
        <color rgb="FF000000"/>
      </left>
      <right/>
      <top style="medium">
        <color rgb="FF000000"/>
      </top>
      <bottom style="thin">
        <color indexed="64"/>
      </bottom>
      <diagonal/>
    </border>
    <border>
      <left style="medium">
        <color indexed="64"/>
      </left>
      <right/>
      <top style="medium">
        <color rgb="FF000000"/>
      </top>
      <bottom style="thin">
        <color indexed="64"/>
      </bottom>
      <diagonal/>
    </border>
    <border>
      <left style="medium">
        <color indexed="64"/>
      </left>
      <right style="medium">
        <color rgb="FF000000"/>
      </right>
      <top style="medium">
        <color rgb="FF000000"/>
      </top>
      <bottom style="thin">
        <color indexed="64"/>
      </bottom>
      <diagonal/>
    </border>
    <border>
      <left style="medium">
        <color rgb="FF000000"/>
      </left>
      <right/>
      <top style="thin">
        <color indexed="64"/>
      </top>
      <bottom style="thin">
        <color indexed="64"/>
      </bottom>
      <diagonal/>
    </border>
    <border>
      <left style="medium">
        <color indexed="64"/>
      </left>
      <right style="medium">
        <color rgb="FF000000"/>
      </right>
      <top style="thin">
        <color indexed="64"/>
      </top>
      <bottom style="thin">
        <color indexed="64"/>
      </bottom>
      <diagonal/>
    </border>
    <border>
      <left style="medium">
        <color rgb="FF000000"/>
      </left>
      <right/>
      <top style="thin">
        <color indexed="64"/>
      </top>
      <bottom/>
      <diagonal/>
    </border>
    <border>
      <left style="medium">
        <color indexed="64"/>
      </left>
      <right style="medium">
        <color rgb="FF000000"/>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bottom style="medium">
        <color indexed="64"/>
      </bottom>
      <diagonal/>
    </border>
    <border>
      <left/>
      <right style="thin">
        <color rgb="FF000000"/>
      </right>
      <top style="medium">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thin">
        <color indexed="64"/>
      </left>
      <right style="medium">
        <color indexed="64"/>
      </right>
      <top/>
      <bottom style="thin">
        <color indexed="64"/>
      </bottom>
      <diagonal/>
    </border>
    <border>
      <left style="medium">
        <color indexed="64"/>
      </left>
      <right style="thin">
        <color indexed="64"/>
      </right>
      <top style="thin">
        <color rgb="FF000000"/>
      </top>
      <bottom style="thin">
        <color rgb="FF000000"/>
      </bottom>
      <diagonal/>
    </border>
    <border>
      <left style="thin">
        <color indexed="64"/>
      </left>
      <right style="thin">
        <color indexed="64"/>
      </right>
      <top style="medium">
        <color indexed="64"/>
      </top>
      <bottom style="medium">
        <color indexed="64"/>
      </bottom>
      <diagonal/>
    </border>
    <border>
      <left/>
      <right/>
      <top style="thin">
        <color indexed="64"/>
      </top>
      <bottom/>
      <diagonal/>
    </border>
    <border>
      <left style="thin">
        <color indexed="64"/>
      </left>
      <right style="thin">
        <color indexed="64"/>
      </right>
      <top/>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rgb="FF000000"/>
      </bottom>
      <diagonal/>
    </border>
    <border>
      <left style="medium">
        <color indexed="64"/>
      </left>
      <right style="thin">
        <color indexed="64"/>
      </right>
      <top style="thin">
        <color rgb="FF000000"/>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style="thin">
        <color indexed="64"/>
      </top>
      <bottom style="medium">
        <color indexed="64"/>
      </bottom>
      <diagonal style="thick">
        <color indexed="64"/>
      </diagonal>
    </border>
    <border diagonalUp="1">
      <left style="thin">
        <color indexed="64"/>
      </left>
      <right style="medium">
        <color indexed="64"/>
      </right>
      <top style="thin">
        <color indexed="64"/>
      </top>
      <bottom style="medium">
        <color indexed="64"/>
      </bottom>
      <diagonal style="thick">
        <color indexed="64"/>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medium">
        <color indexed="64"/>
      </bottom>
      <diagonal style="thick">
        <color indexed="64"/>
      </diagonal>
    </border>
    <border>
      <left/>
      <right/>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style="thin">
        <color indexed="64"/>
      </top>
      <bottom/>
      <diagonal/>
    </border>
    <border>
      <left/>
      <right style="thick">
        <color indexed="64"/>
      </right>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s>
  <cellStyleXfs count="3">
    <xf numFmtId="0" fontId="0" fillId="0" borderId="0"/>
    <xf numFmtId="9" fontId="4" fillId="0" borderId="0" applyFont="0" applyFill="0" applyBorder="0" applyAlignment="0" applyProtection="0"/>
    <xf numFmtId="0" fontId="5" fillId="0" borderId="0"/>
  </cellStyleXfs>
  <cellXfs count="1098">
    <xf numFmtId="0" fontId="0" fillId="0" borderId="0" xfId="0"/>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textRotation="90"/>
    </xf>
    <xf numFmtId="0" fontId="0" fillId="0" borderId="11"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4"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2" fillId="2" borderId="26" xfId="0" applyFont="1" applyFill="1" applyBorder="1" applyAlignment="1">
      <alignment horizontal="center"/>
    </xf>
    <xf numFmtId="0" fontId="2" fillId="2" borderId="27" xfId="0" applyFont="1" applyFill="1" applyBorder="1" applyAlignment="1">
      <alignment horizontal="center"/>
    </xf>
    <xf numFmtId="0" fontId="2" fillId="2" borderId="28" xfId="0" applyFont="1" applyFill="1" applyBorder="1" applyAlignment="1">
      <alignment horizontal="center"/>
    </xf>
    <xf numFmtId="0" fontId="2" fillId="2" borderId="29" xfId="0" applyFont="1" applyFill="1" applyBorder="1" applyAlignment="1">
      <alignment horizontal="center"/>
    </xf>
    <xf numFmtId="0" fontId="2" fillId="2" borderId="31" xfId="0" applyFont="1" applyFill="1" applyBorder="1" applyAlignment="1">
      <alignment horizontal="center" textRotation="90"/>
    </xf>
    <xf numFmtId="9" fontId="0" fillId="0" borderId="1" xfId="0" applyNumberFormat="1" applyBorder="1" applyAlignment="1">
      <alignment horizontal="center" vertical="center"/>
    </xf>
    <xf numFmtId="0" fontId="0" fillId="0" borderId="3" xfId="0" applyBorder="1" applyAlignment="1">
      <alignment vertical="center"/>
    </xf>
    <xf numFmtId="0" fontId="0" fillId="0" borderId="5" xfId="0"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0" borderId="6" xfId="0" applyBorder="1" applyAlignment="1">
      <alignment vertical="center"/>
    </xf>
    <xf numFmtId="0" fontId="0" fillId="0" borderId="8" xfId="0" applyBorder="1" applyAlignment="1">
      <alignment vertical="center"/>
    </xf>
    <xf numFmtId="9" fontId="0" fillId="0" borderId="4" xfId="0" applyNumberFormat="1" applyBorder="1" applyAlignment="1">
      <alignment horizontal="center" vertical="center"/>
    </xf>
    <xf numFmtId="9" fontId="0" fillId="0" borderId="7" xfId="0" applyNumberFormat="1" applyBorder="1" applyAlignment="1">
      <alignment horizontal="center" vertical="center"/>
    </xf>
    <xf numFmtId="0" fontId="0" fillId="0" borderId="18" xfId="0" applyBorder="1" applyAlignment="1">
      <alignment vertical="center" wrapText="1"/>
    </xf>
    <xf numFmtId="0" fontId="0" fillId="0" borderId="19" xfId="0" applyBorder="1" applyAlignment="1">
      <alignment vertical="center" wrapText="1"/>
    </xf>
    <xf numFmtId="0" fontId="0" fillId="0" borderId="19" xfId="0" applyBorder="1" applyAlignment="1">
      <alignment vertical="center"/>
    </xf>
    <xf numFmtId="0" fontId="0" fillId="0" borderId="20" xfId="0" applyBorder="1" applyAlignment="1">
      <alignment vertical="center"/>
    </xf>
    <xf numFmtId="0" fontId="0" fillId="0" borderId="18" xfId="0" applyBorder="1" applyAlignment="1">
      <alignment horizontal="center" vertical="center"/>
    </xf>
    <xf numFmtId="164" fontId="0" fillId="0" borderId="5" xfId="0" applyNumberFormat="1" applyBorder="1" applyAlignment="1">
      <alignment horizontal="center" vertical="center"/>
    </xf>
    <xf numFmtId="164" fontId="0" fillId="0" borderId="11" xfId="0" applyNumberFormat="1" applyBorder="1" applyAlignment="1">
      <alignment horizontal="center" vertical="center"/>
    </xf>
    <xf numFmtId="164" fontId="0" fillId="0" borderId="12" xfId="0" applyNumberFormat="1" applyBorder="1" applyAlignment="1">
      <alignment horizontal="center" vertical="center"/>
    </xf>
    <xf numFmtId="164" fontId="0" fillId="0" borderId="6" xfId="0" applyNumberFormat="1" applyBorder="1" applyAlignment="1">
      <alignment horizontal="center" vertical="center"/>
    </xf>
    <xf numFmtId="164" fontId="0" fillId="0" borderId="8" xfId="0" applyNumberFormat="1" applyBorder="1" applyAlignment="1">
      <alignment horizontal="center" vertical="center"/>
    </xf>
    <xf numFmtId="9" fontId="0" fillId="0" borderId="13" xfId="0" applyNumberFormat="1" applyBorder="1" applyAlignment="1">
      <alignment horizontal="center" vertical="center"/>
    </xf>
    <xf numFmtId="9" fontId="0" fillId="0" borderId="15" xfId="0" applyNumberFormat="1" applyBorder="1" applyAlignment="1">
      <alignment horizontal="center" vertical="center"/>
    </xf>
    <xf numFmtId="9" fontId="0" fillId="0" borderId="14" xfId="0" applyNumberFormat="1" applyBorder="1" applyAlignment="1">
      <alignment horizontal="center" vertical="center"/>
    </xf>
    <xf numFmtId="164" fontId="0" fillId="0" borderId="9" xfId="0" applyNumberFormat="1" applyBorder="1" applyAlignment="1">
      <alignment horizontal="center" vertical="center"/>
    </xf>
    <xf numFmtId="164" fontId="0" fillId="0" borderId="33" xfId="0" applyNumberFormat="1" applyBorder="1" applyAlignment="1">
      <alignment horizontal="center" vertical="center"/>
    </xf>
    <xf numFmtId="164" fontId="0" fillId="0" borderId="3" xfId="0" applyNumberFormat="1" applyBorder="1" applyAlignment="1">
      <alignment horizontal="center" vertical="center"/>
    </xf>
    <xf numFmtId="9" fontId="0" fillId="0" borderId="9" xfId="0" applyNumberFormat="1" applyBorder="1" applyAlignment="1">
      <alignment horizontal="center" vertical="center"/>
    </xf>
    <xf numFmtId="9" fontId="0" fillId="0" borderId="33" xfId="0" applyNumberFormat="1" applyBorder="1" applyAlignment="1">
      <alignment horizontal="center" vertical="center"/>
    </xf>
    <xf numFmtId="9" fontId="0" fillId="0" borderId="10" xfId="0" applyNumberFormat="1" applyBorder="1" applyAlignment="1">
      <alignment horizontal="center" vertical="center"/>
    </xf>
    <xf numFmtId="9" fontId="0" fillId="0" borderId="3" xfId="0" applyNumberFormat="1" applyBorder="1" applyAlignment="1">
      <alignment horizontal="center" vertical="center"/>
    </xf>
    <xf numFmtId="9" fontId="0" fillId="0" borderId="5" xfId="0" applyNumberFormat="1" applyBorder="1" applyAlignment="1">
      <alignment horizontal="center" vertical="center"/>
    </xf>
    <xf numFmtId="9" fontId="0" fillId="0" borderId="11" xfId="0" applyNumberFormat="1" applyBorder="1" applyAlignment="1">
      <alignment horizontal="center" vertical="center"/>
    </xf>
    <xf numFmtId="9" fontId="0" fillId="0" borderId="12" xfId="0" applyNumberFormat="1" applyBorder="1" applyAlignment="1">
      <alignment horizontal="center" vertical="center"/>
    </xf>
    <xf numFmtId="9" fontId="0" fillId="0" borderId="6" xfId="0" applyNumberFormat="1" applyBorder="1" applyAlignment="1">
      <alignment horizontal="center" vertical="center"/>
    </xf>
    <xf numFmtId="9" fontId="0" fillId="0" borderId="8" xfId="0" applyNumberFormat="1" applyBorder="1" applyAlignment="1">
      <alignment horizontal="center" vertical="center"/>
    </xf>
    <xf numFmtId="164" fontId="0" fillId="0" borderId="18" xfId="0" applyNumberFormat="1" applyBorder="1" applyAlignment="1">
      <alignment horizontal="center" vertical="center"/>
    </xf>
    <xf numFmtId="164" fontId="0" fillId="0" borderId="19" xfId="0" applyNumberFormat="1" applyBorder="1" applyAlignment="1">
      <alignment horizontal="center" vertical="center"/>
    </xf>
    <xf numFmtId="164" fontId="0" fillId="0" borderId="20" xfId="0" applyNumberFormat="1" applyBorder="1" applyAlignment="1">
      <alignment horizontal="center" vertical="center"/>
    </xf>
    <xf numFmtId="0" fontId="0" fillId="0" borderId="30" xfId="0" applyBorder="1" applyAlignment="1">
      <alignment horizontal="center" vertical="center"/>
    </xf>
    <xf numFmtId="164" fontId="2" fillId="2" borderId="2" xfId="0" applyNumberFormat="1" applyFont="1" applyFill="1" applyBorder="1" applyAlignment="1">
      <alignment horizontal="center" vertical="center"/>
    </xf>
    <xf numFmtId="164" fontId="2" fillId="2" borderId="36" xfId="0" applyNumberFormat="1" applyFont="1" applyFill="1" applyBorder="1" applyAlignment="1">
      <alignment horizontal="center" vertical="center"/>
    </xf>
    <xf numFmtId="0" fontId="0" fillId="0" borderId="40" xfId="0" applyBorder="1" applyAlignment="1" applyProtection="1">
      <alignment horizontal="left" vertical="center"/>
      <protection locked="0"/>
    </xf>
    <xf numFmtId="0" fontId="0" fillId="0" borderId="3" xfId="0" applyBorder="1" applyAlignment="1" applyProtection="1">
      <alignment horizontal="left" vertical="center"/>
      <protection locked="0"/>
    </xf>
    <xf numFmtId="4" fontId="0" fillId="0" borderId="5" xfId="0" applyNumberFormat="1" applyBorder="1" applyAlignment="1" applyProtection="1">
      <alignment horizontal="left" vertical="center"/>
      <protection locked="0"/>
    </xf>
    <xf numFmtId="0" fontId="0" fillId="0" borderId="11" xfId="0" applyBorder="1" applyAlignment="1" applyProtection="1">
      <alignment horizontal="left" vertical="center"/>
      <protection locked="0"/>
    </xf>
    <xf numFmtId="4" fontId="0" fillId="0" borderId="12" xfId="0" applyNumberFormat="1" applyBorder="1" applyAlignment="1" applyProtection="1">
      <alignment horizontal="left" vertical="center"/>
      <protection locked="0"/>
    </xf>
    <xf numFmtId="4" fontId="5" fillId="0" borderId="12" xfId="0" applyNumberFormat="1" applyFont="1" applyBorder="1" applyAlignment="1" applyProtection="1">
      <alignment horizontal="left" vertical="center"/>
      <protection locked="0"/>
    </xf>
    <xf numFmtId="0" fontId="0" fillId="0" borderId="6" xfId="0" applyBorder="1" applyAlignment="1" applyProtection="1">
      <alignment horizontal="left" vertical="center"/>
      <protection locked="0"/>
    </xf>
    <xf numFmtId="4" fontId="0" fillId="0" borderId="8" xfId="0" applyNumberFormat="1" applyBorder="1" applyAlignment="1" applyProtection="1">
      <alignment horizontal="left" vertical="center"/>
      <protection locked="0"/>
    </xf>
    <xf numFmtId="0" fontId="0" fillId="0" borderId="18" xfId="0"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19" xfId="0" applyBorder="1" applyAlignment="1" applyProtection="1">
      <alignment horizontal="left" vertical="center"/>
      <protection locked="0"/>
    </xf>
    <xf numFmtId="0" fontId="0" fillId="0" borderId="19" xfId="0" quotePrefix="1" applyBorder="1" applyAlignment="1" applyProtection="1">
      <alignment horizontal="left" vertical="center" wrapText="1"/>
      <protection locked="0"/>
    </xf>
    <xf numFmtId="0" fontId="0" fillId="0" borderId="20" xfId="0" applyBorder="1" applyAlignment="1" applyProtection="1">
      <alignment horizontal="left" vertical="center"/>
      <protection locked="0"/>
    </xf>
    <xf numFmtId="0" fontId="0" fillId="0" borderId="3"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3" fontId="0" fillId="0" borderId="18" xfId="0" applyNumberFormat="1" applyBorder="1" applyAlignment="1" applyProtection="1">
      <alignment horizontal="center" vertical="center"/>
      <protection locked="0"/>
    </xf>
    <xf numFmtId="9" fontId="0" fillId="0" borderId="3" xfId="1" applyFont="1" applyFill="1" applyBorder="1" applyAlignment="1" applyProtection="1">
      <alignment horizontal="center" vertical="center"/>
      <protection locked="0"/>
    </xf>
    <xf numFmtId="9" fontId="0" fillId="0" borderId="4" xfId="1" applyFont="1" applyFill="1" applyBorder="1" applyAlignment="1" applyProtection="1">
      <alignment horizontal="center" vertical="center"/>
      <protection locked="0"/>
    </xf>
    <xf numFmtId="9" fontId="0" fillId="0" borderId="5" xfId="1" applyFont="1" applyFill="1" applyBorder="1" applyAlignment="1" applyProtection="1">
      <alignment horizontal="center" vertical="center"/>
      <protection locked="0"/>
    </xf>
    <xf numFmtId="3" fontId="5" fillId="0" borderId="3" xfId="0" applyNumberFormat="1" applyFont="1" applyBorder="1" applyAlignment="1" applyProtection="1">
      <alignment horizontal="center" vertical="center"/>
      <protection locked="0"/>
    </xf>
    <xf numFmtId="3" fontId="0" fillId="0" borderId="5" xfId="0" applyNumberFormat="1" applyBorder="1" applyAlignment="1" applyProtection="1">
      <alignment horizontal="center" vertical="center"/>
      <protection locked="0"/>
    </xf>
    <xf numFmtId="3" fontId="0" fillId="0" borderId="3" xfId="0" applyNumberFormat="1"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3" fontId="0" fillId="0" borderId="19" xfId="0" applyNumberFormat="1" applyBorder="1" applyAlignment="1" applyProtection="1">
      <alignment horizontal="center" vertical="center"/>
      <protection locked="0"/>
    </xf>
    <xf numFmtId="9" fontId="0" fillId="0" borderId="11" xfId="1" applyFont="1" applyFill="1" applyBorder="1" applyAlignment="1" applyProtection="1">
      <alignment horizontal="center" vertical="center"/>
      <protection locked="0"/>
    </xf>
    <xf numFmtId="9" fontId="0" fillId="0" borderId="1" xfId="1" applyFont="1" applyFill="1" applyBorder="1" applyAlignment="1" applyProtection="1">
      <alignment horizontal="center" vertical="center"/>
      <protection locked="0"/>
    </xf>
    <xf numFmtId="9" fontId="0" fillId="0" borderId="12" xfId="1" applyFont="1" applyFill="1" applyBorder="1" applyAlignment="1" applyProtection="1">
      <alignment horizontal="center" vertical="center"/>
      <protection locked="0"/>
    </xf>
    <xf numFmtId="3" fontId="5" fillId="0" borderId="11" xfId="0" applyNumberFormat="1" applyFont="1" applyBorder="1" applyAlignment="1" applyProtection="1">
      <alignment horizontal="center" vertical="center"/>
      <protection locked="0"/>
    </xf>
    <xf numFmtId="3" fontId="5" fillId="0" borderId="12" xfId="0" applyNumberFormat="1" applyFont="1" applyBorder="1" applyAlignment="1" applyProtection="1">
      <alignment horizontal="center" vertical="center"/>
      <protection locked="0"/>
    </xf>
    <xf numFmtId="3" fontId="5" fillId="0" borderId="19" xfId="0" applyNumberFormat="1" applyFont="1" applyBorder="1" applyAlignment="1" applyProtection="1">
      <alignment horizontal="center" vertical="center"/>
      <protection locked="0"/>
    </xf>
    <xf numFmtId="3" fontId="0" fillId="0" borderId="12" xfId="0" applyNumberFormat="1" applyBorder="1" applyAlignment="1" applyProtection="1">
      <alignment horizontal="center" vertical="center"/>
      <protection locked="0"/>
    </xf>
    <xf numFmtId="3" fontId="0" fillId="0" borderId="11" xfId="0" applyNumberFormat="1"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3" fontId="0" fillId="0" borderId="20" xfId="0" applyNumberFormat="1" applyBorder="1" applyAlignment="1" applyProtection="1">
      <alignment horizontal="center" vertical="center"/>
      <protection locked="0"/>
    </xf>
    <xf numFmtId="9" fontId="0" fillId="0" borderId="6" xfId="1" applyFont="1" applyFill="1" applyBorder="1" applyAlignment="1" applyProtection="1">
      <alignment horizontal="center" vertical="center"/>
      <protection locked="0"/>
    </xf>
    <xf numFmtId="9" fontId="0" fillId="0" borderId="7" xfId="1" applyFont="1" applyFill="1" applyBorder="1" applyAlignment="1" applyProtection="1">
      <alignment horizontal="center" vertical="center"/>
      <protection locked="0"/>
    </xf>
    <xf numFmtId="9" fontId="0" fillId="0" borderId="8" xfId="1" applyFont="1" applyFill="1" applyBorder="1" applyAlignment="1" applyProtection="1">
      <alignment horizontal="center" vertical="center"/>
      <protection locked="0"/>
    </xf>
    <xf numFmtId="3" fontId="5" fillId="0" borderId="6" xfId="0" applyNumberFormat="1" applyFont="1" applyBorder="1" applyAlignment="1" applyProtection="1">
      <alignment horizontal="center" vertical="center"/>
      <protection locked="0"/>
    </xf>
    <xf numFmtId="3" fontId="5" fillId="0" borderId="8" xfId="0" applyNumberFormat="1" applyFont="1" applyBorder="1" applyAlignment="1" applyProtection="1">
      <alignment horizontal="center" vertical="center"/>
      <protection locked="0"/>
    </xf>
    <xf numFmtId="3" fontId="5" fillId="0" borderId="20" xfId="0" applyNumberFormat="1" applyFont="1" applyBorder="1" applyAlignment="1" applyProtection="1">
      <alignment horizontal="center" vertical="center"/>
      <protection locked="0"/>
    </xf>
    <xf numFmtId="164" fontId="0" fillId="0" borderId="18" xfId="0" applyNumberFormat="1" applyBorder="1" applyAlignment="1" applyProtection="1">
      <alignment horizontal="center" vertical="center"/>
      <protection locked="0"/>
    </xf>
    <xf numFmtId="164" fontId="0" fillId="0" borderId="19" xfId="0" applyNumberFormat="1" applyBorder="1" applyAlignment="1" applyProtection="1">
      <alignment horizontal="center" vertical="center"/>
      <protection locked="0"/>
    </xf>
    <xf numFmtId="164" fontId="0" fillId="0" borderId="20" xfId="0" applyNumberFormat="1" applyBorder="1" applyAlignment="1" applyProtection="1">
      <alignment horizontal="center" vertical="center"/>
      <protection locked="0"/>
    </xf>
    <xf numFmtId="164" fontId="5" fillId="0" borderId="3" xfId="0" applyNumberFormat="1" applyFont="1" applyBorder="1" applyAlignment="1" applyProtection="1">
      <alignment horizontal="center" vertical="center"/>
      <protection locked="0"/>
    </xf>
    <xf numFmtId="164" fontId="0" fillId="0" borderId="5" xfId="0" applyNumberFormat="1" applyBorder="1" applyAlignment="1" applyProtection="1">
      <alignment horizontal="center" vertical="center"/>
      <protection locked="0"/>
    </xf>
    <xf numFmtId="164" fontId="0" fillId="0" borderId="3" xfId="0" applyNumberFormat="1" applyBorder="1" applyAlignment="1" applyProtection="1">
      <alignment horizontal="center" vertical="center"/>
      <protection locked="0"/>
    </xf>
    <xf numFmtId="164" fontId="5" fillId="0" borderId="11" xfId="0" applyNumberFormat="1" applyFont="1" applyBorder="1" applyAlignment="1" applyProtection="1">
      <alignment horizontal="center" vertical="center"/>
      <protection locked="0"/>
    </xf>
    <xf numFmtId="164" fontId="5" fillId="0" borderId="12" xfId="0" applyNumberFormat="1" applyFont="1" applyBorder="1" applyAlignment="1" applyProtection="1">
      <alignment horizontal="center" vertical="center"/>
      <protection locked="0"/>
    </xf>
    <xf numFmtId="164" fontId="0" fillId="0" borderId="12" xfId="0" applyNumberFormat="1" applyBorder="1" applyAlignment="1" applyProtection="1">
      <alignment horizontal="center" vertical="center"/>
      <protection locked="0"/>
    </xf>
    <xf numFmtId="164" fontId="0" fillId="0" borderId="11" xfId="0" applyNumberFormat="1" applyBorder="1" applyAlignment="1" applyProtection="1">
      <alignment horizontal="center" vertical="center"/>
      <protection locked="0"/>
    </xf>
    <xf numFmtId="164" fontId="5" fillId="0" borderId="6" xfId="0" applyNumberFormat="1" applyFont="1" applyBorder="1" applyAlignment="1" applyProtection="1">
      <alignment horizontal="center" vertical="center"/>
      <protection locked="0"/>
    </xf>
    <xf numFmtId="164" fontId="5" fillId="0" borderId="8" xfId="0" applyNumberFormat="1" applyFont="1" applyBorder="1" applyAlignment="1" applyProtection="1">
      <alignment horizontal="center" vertical="center"/>
      <protection locked="0"/>
    </xf>
    <xf numFmtId="164" fontId="1" fillId="2" borderId="2" xfId="0" applyNumberFormat="1" applyFont="1" applyFill="1" applyBorder="1" applyAlignment="1">
      <alignment horizontal="center" vertical="center"/>
    </xf>
    <xf numFmtId="0" fontId="0" fillId="0" borderId="18" xfId="0" applyBorder="1" applyAlignment="1" applyProtection="1">
      <alignment horizontal="left" vertical="center"/>
      <protection locked="0"/>
    </xf>
    <xf numFmtId="9" fontId="0" fillId="0" borderId="13" xfId="1" applyFont="1" applyFill="1" applyBorder="1" applyAlignment="1" applyProtection="1">
      <alignment horizontal="center" vertical="center"/>
      <protection locked="0"/>
    </xf>
    <xf numFmtId="9" fontId="0" fillId="0" borderId="15" xfId="1" applyFont="1" applyFill="1" applyBorder="1" applyAlignment="1" applyProtection="1">
      <alignment horizontal="center" vertical="center"/>
      <protection locked="0"/>
    </xf>
    <xf numFmtId="9" fontId="0" fillId="0" borderId="14" xfId="1" applyFont="1" applyFill="1" applyBorder="1" applyAlignment="1" applyProtection="1">
      <alignment horizontal="center" vertical="center"/>
      <protection locked="0"/>
    </xf>
    <xf numFmtId="165" fontId="0" fillId="0" borderId="18" xfId="0" applyNumberFormat="1" applyBorder="1" applyAlignment="1" applyProtection="1">
      <alignment horizontal="center" vertical="center"/>
      <protection locked="0"/>
    </xf>
    <xf numFmtId="165" fontId="0" fillId="0" borderId="19" xfId="0" applyNumberFormat="1" applyBorder="1" applyAlignment="1" applyProtection="1">
      <alignment horizontal="center" vertical="center"/>
      <protection locked="0"/>
    </xf>
    <xf numFmtId="165" fontId="0" fillId="0" borderId="20" xfId="0" applyNumberFormat="1" applyBorder="1" applyAlignment="1" applyProtection="1">
      <alignment horizontal="center" vertical="center"/>
      <protection locked="0"/>
    </xf>
    <xf numFmtId="165" fontId="5" fillId="0" borderId="3" xfId="0" applyNumberFormat="1" applyFont="1" applyBorder="1" applyAlignment="1" applyProtection="1">
      <alignment horizontal="center" vertical="center"/>
      <protection locked="0"/>
    </xf>
    <xf numFmtId="165" fontId="0" fillId="0" borderId="5" xfId="0" applyNumberFormat="1" applyBorder="1" applyAlignment="1" applyProtection="1">
      <alignment horizontal="center" vertical="center"/>
      <protection locked="0"/>
    </xf>
    <xf numFmtId="165" fontId="0" fillId="0" borderId="9" xfId="0" applyNumberFormat="1" applyBorder="1" applyAlignment="1" applyProtection="1">
      <alignment horizontal="center" vertical="center"/>
      <protection locked="0"/>
    </xf>
    <xf numFmtId="165" fontId="5" fillId="0" borderId="11" xfId="0" applyNumberFormat="1" applyFont="1" applyBorder="1" applyAlignment="1" applyProtection="1">
      <alignment horizontal="center" vertical="center"/>
      <protection locked="0"/>
    </xf>
    <xf numFmtId="165" fontId="5" fillId="0" borderId="12" xfId="0" applyNumberFormat="1" applyFont="1" applyBorder="1" applyAlignment="1" applyProtection="1">
      <alignment horizontal="center" vertical="center"/>
      <protection locked="0"/>
    </xf>
    <xf numFmtId="165" fontId="5" fillId="0" borderId="33" xfId="0" applyNumberFormat="1" applyFont="1" applyBorder="1" applyAlignment="1" applyProtection="1">
      <alignment horizontal="center" vertical="center"/>
      <protection locked="0"/>
    </xf>
    <xf numFmtId="165" fontId="0" fillId="0" borderId="12" xfId="0" applyNumberFormat="1" applyBorder="1" applyAlignment="1" applyProtection="1">
      <alignment horizontal="center" vertical="center"/>
      <protection locked="0"/>
    </xf>
    <xf numFmtId="165" fontId="0" fillId="0" borderId="33" xfId="0" applyNumberFormat="1" applyBorder="1" applyAlignment="1" applyProtection="1">
      <alignment horizontal="center" vertical="center"/>
      <protection locked="0"/>
    </xf>
    <xf numFmtId="165" fontId="5" fillId="0" borderId="6" xfId="0" applyNumberFormat="1" applyFont="1" applyBorder="1" applyAlignment="1" applyProtection="1">
      <alignment horizontal="center" vertical="center"/>
      <protection locked="0"/>
    </xf>
    <xf numFmtId="165" fontId="5" fillId="0" borderId="8" xfId="0" applyNumberFormat="1" applyFont="1" applyBorder="1" applyAlignment="1" applyProtection="1">
      <alignment horizontal="center" vertical="center"/>
      <protection locked="0"/>
    </xf>
    <xf numFmtId="165" fontId="5" fillId="0" borderId="10" xfId="0" applyNumberFormat="1" applyFont="1"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0" fillId="0" borderId="33"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0" xfId="0" quotePrefix="1" applyAlignment="1">
      <alignment horizontal="left" vertical="center"/>
    </xf>
    <xf numFmtId="0" fontId="0" fillId="4" borderId="2" xfId="0" applyFill="1" applyBorder="1" applyAlignment="1">
      <alignment horizontal="center" vertical="center"/>
    </xf>
    <xf numFmtId="0" fontId="0" fillId="6" borderId="2" xfId="0" applyFill="1" applyBorder="1" applyAlignment="1">
      <alignment horizontal="center" vertical="center"/>
    </xf>
    <xf numFmtId="0" fontId="2" fillId="2" borderId="16" xfId="0" applyFont="1" applyFill="1" applyBorder="1" applyAlignment="1">
      <alignment horizontal="center" textRotation="90"/>
    </xf>
    <xf numFmtId="0" fontId="2" fillId="2" borderId="17" xfId="0" applyFont="1" applyFill="1" applyBorder="1" applyAlignment="1">
      <alignment horizontal="center" textRotation="90"/>
    </xf>
    <xf numFmtId="9" fontId="7" fillId="4" borderId="28" xfId="0" applyNumberFormat="1" applyFont="1" applyFill="1" applyBorder="1" applyAlignment="1">
      <alignment horizontal="center" vertical="center"/>
    </xf>
    <xf numFmtId="9" fontId="7" fillId="4" borderId="47" xfId="0" applyNumberFormat="1" applyFont="1" applyFill="1" applyBorder="1" applyAlignment="1">
      <alignment horizontal="center" vertical="center"/>
    </xf>
    <xf numFmtId="9" fontId="7" fillId="4" borderId="44" xfId="0" applyNumberFormat="1" applyFont="1" applyFill="1" applyBorder="1" applyAlignment="1">
      <alignment horizontal="center" vertical="center"/>
    </xf>
    <xf numFmtId="9" fontId="7" fillId="4" borderId="75" xfId="0" applyNumberFormat="1" applyFont="1" applyFill="1" applyBorder="1" applyAlignment="1">
      <alignment horizontal="center" vertical="center"/>
    </xf>
    <xf numFmtId="9" fontId="7" fillId="4" borderId="51" xfId="0" applyNumberFormat="1" applyFont="1" applyFill="1" applyBorder="1" applyAlignment="1">
      <alignment horizontal="center" vertical="center"/>
    </xf>
    <xf numFmtId="9" fontId="7" fillId="4" borderId="76" xfId="0" applyNumberFormat="1" applyFont="1" applyFill="1" applyBorder="1" applyAlignment="1">
      <alignment horizontal="center" vertical="center"/>
    </xf>
    <xf numFmtId="9" fontId="7" fillId="4" borderId="49" xfId="0" applyNumberFormat="1" applyFont="1" applyFill="1" applyBorder="1" applyAlignment="1">
      <alignment horizontal="center" vertical="center"/>
    </xf>
    <xf numFmtId="9" fontId="7" fillId="4" borderId="77" xfId="0" applyNumberFormat="1" applyFont="1" applyFill="1" applyBorder="1" applyAlignment="1">
      <alignment horizontal="center" vertical="center"/>
    </xf>
    <xf numFmtId="9" fontId="7" fillId="4" borderId="56" xfId="0" applyNumberFormat="1" applyFont="1" applyFill="1" applyBorder="1" applyAlignment="1">
      <alignment horizontal="center" vertical="center"/>
    </xf>
    <xf numFmtId="9" fontId="7" fillId="4" borderId="41" xfId="0" applyNumberFormat="1" applyFont="1" applyFill="1" applyBorder="1" applyAlignment="1">
      <alignment horizontal="center" vertical="center"/>
    </xf>
    <xf numFmtId="9" fontId="7" fillId="4" borderId="48" xfId="0" applyNumberFormat="1" applyFont="1" applyFill="1" applyBorder="1" applyAlignment="1">
      <alignment horizontal="center" vertical="center"/>
    </xf>
    <xf numFmtId="9" fontId="7" fillId="4" borderId="45" xfId="0" applyNumberFormat="1" applyFont="1" applyFill="1" applyBorder="1" applyAlignment="1">
      <alignment horizontal="center" vertical="center"/>
    </xf>
    <xf numFmtId="9" fontId="7" fillId="4" borderId="11" xfId="0" applyNumberFormat="1" applyFont="1" applyFill="1" applyBorder="1" applyAlignment="1">
      <alignment horizontal="center" vertical="center"/>
    </xf>
    <xf numFmtId="9" fontId="7" fillId="4" borderId="1" xfId="0" applyNumberFormat="1" applyFont="1" applyFill="1" applyBorder="1" applyAlignment="1">
      <alignment horizontal="center" vertical="center"/>
    </xf>
    <xf numFmtId="9" fontId="7" fillId="4" borderId="15" xfId="0" applyNumberFormat="1" applyFont="1" applyFill="1" applyBorder="1" applyAlignment="1">
      <alignment horizontal="center" vertical="center"/>
    </xf>
    <xf numFmtId="9" fontId="7" fillId="4" borderId="3" xfId="0" applyNumberFormat="1" applyFont="1" applyFill="1" applyBorder="1" applyAlignment="1">
      <alignment horizontal="center" vertical="center"/>
    </xf>
    <xf numFmtId="9" fontId="7" fillId="4" borderId="4" xfId="0" applyNumberFormat="1" applyFont="1" applyFill="1" applyBorder="1" applyAlignment="1">
      <alignment horizontal="center" vertical="center"/>
    </xf>
    <xf numFmtId="9" fontId="7" fillId="4" borderId="13" xfId="0" applyNumberFormat="1" applyFont="1" applyFill="1" applyBorder="1" applyAlignment="1">
      <alignment horizontal="center" vertical="center"/>
    </xf>
    <xf numFmtId="9" fontId="7" fillId="4" borderId="6" xfId="0" applyNumberFormat="1" applyFont="1" applyFill="1" applyBorder="1" applyAlignment="1">
      <alignment horizontal="center" vertical="center"/>
    </xf>
    <xf numFmtId="9" fontId="7" fillId="4" borderId="7" xfId="0" applyNumberFormat="1" applyFont="1" applyFill="1" applyBorder="1" applyAlignment="1">
      <alignment horizontal="center" vertical="center"/>
    </xf>
    <xf numFmtId="9" fontId="7" fillId="4" borderId="14" xfId="0" applyNumberFormat="1" applyFont="1" applyFill="1" applyBorder="1" applyAlignment="1">
      <alignment horizontal="center" vertical="center"/>
    </xf>
    <xf numFmtId="9" fontId="7" fillId="4" borderId="38" xfId="0" applyNumberFormat="1" applyFont="1" applyFill="1" applyBorder="1" applyAlignment="1">
      <alignment horizontal="center" vertical="center"/>
    </xf>
    <xf numFmtId="9" fontId="7" fillId="4" borderId="35" xfId="0" applyNumberFormat="1" applyFont="1" applyFill="1" applyBorder="1" applyAlignment="1">
      <alignment horizontal="center" vertical="center"/>
    </xf>
    <xf numFmtId="9" fontId="7" fillId="4" borderId="26" xfId="0" applyNumberFormat="1" applyFont="1" applyFill="1" applyBorder="1" applyAlignment="1">
      <alignment horizontal="center" vertical="center"/>
    </xf>
    <xf numFmtId="9" fontId="7" fillId="4" borderId="80" xfId="0" applyNumberFormat="1" applyFont="1" applyFill="1" applyBorder="1" applyAlignment="1">
      <alignment horizontal="center" vertical="center"/>
    </xf>
    <xf numFmtId="9" fontId="7" fillId="4" borderId="83" xfId="0" applyNumberFormat="1" applyFont="1" applyFill="1" applyBorder="1" applyAlignment="1">
      <alignment horizontal="center" vertical="center"/>
    </xf>
    <xf numFmtId="9" fontId="7" fillId="4" borderId="84" xfId="0" applyNumberFormat="1" applyFont="1" applyFill="1" applyBorder="1" applyAlignment="1">
      <alignment horizontal="center" vertical="center"/>
    </xf>
    <xf numFmtId="9" fontId="7" fillId="4" borderId="85" xfId="0" applyNumberFormat="1" applyFont="1" applyFill="1" applyBorder="1" applyAlignment="1">
      <alignment horizontal="center" vertical="center"/>
    </xf>
    <xf numFmtId="9" fontId="7" fillId="4" borderId="34" xfId="0" applyNumberFormat="1" applyFont="1" applyFill="1" applyBorder="1" applyAlignment="1">
      <alignment horizontal="center" vertical="center"/>
    </xf>
    <xf numFmtId="9" fontId="7" fillId="4" borderId="37" xfId="0" applyNumberFormat="1" applyFont="1" applyFill="1" applyBorder="1" applyAlignment="1">
      <alignment horizontal="center" vertical="center"/>
    </xf>
    <xf numFmtId="164" fontId="7" fillId="0" borderId="24" xfId="0" applyNumberFormat="1" applyFont="1" applyBorder="1" applyAlignment="1">
      <alignment horizontal="right" vertical="center"/>
    </xf>
    <xf numFmtId="164" fontId="7" fillId="0" borderId="22" xfId="0" applyNumberFormat="1" applyFont="1" applyBorder="1" applyAlignment="1">
      <alignment horizontal="right" vertical="center"/>
    </xf>
    <xf numFmtId="164" fontId="7" fillId="0" borderId="21" xfId="0" applyNumberFormat="1" applyFont="1" applyBorder="1" applyAlignment="1">
      <alignment horizontal="right" vertical="center"/>
    </xf>
    <xf numFmtId="164" fontId="7" fillId="0" borderId="23" xfId="0" applyNumberFormat="1" applyFont="1" applyBorder="1" applyAlignment="1">
      <alignment horizontal="right" vertical="center"/>
    </xf>
    <xf numFmtId="164" fontId="7" fillId="0" borderId="39" xfId="0" applyNumberFormat="1" applyFont="1" applyBorder="1" applyAlignment="1">
      <alignment horizontal="right" vertical="center"/>
    </xf>
    <xf numFmtId="0" fontId="7" fillId="4" borderId="26" xfId="0" applyFont="1" applyFill="1" applyBorder="1" applyAlignment="1">
      <alignment horizontal="center" vertical="center"/>
    </xf>
    <xf numFmtId="0" fontId="7" fillId="4" borderId="37"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15"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13"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15" xfId="0" applyFont="1" applyFill="1" applyBorder="1" applyAlignment="1">
      <alignment horizontal="center" vertical="center"/>
    </xf>
    <xf numFmtId="0" fontId="7" fillId="4" borderId="6" xfId="0" applyFont="1" applyFill="1" applyBorder="1" applyAlignment="1">
      <alignment horizontal="center" vertical="center"/>
    </xf>
    <xf numFmtId="0" fontId="7" fillId="4" borderId="14" xfId="0" applyFont="1" applyFill="1" applyBorder="1" applyAlignment="1">
      <alignment horizontal="center" vertical="center"/>
    </xf>
    <xf numFmtId="0" fontId="7" fillId="4" borderId="38" xfId="0" applyFont="1" applyFill="1" applyBorder="1" applyAlignment="1">
      <alignment horizontal="center" vertical="center"/>
    </xf>
    <xf numFmtId="0" fontId="7" fillId="4" borderId="34" xfId="0" applyFont="1" applyFill="1" applyBorder="1" applyAlignment="1">
      <alignment horizontal="center" vertical="center"/>
    </xf>
    <xf numFmtId="0" fontId="7" fillId="0" borderId="26" xfId="0" applyFont="1" applyBorder="1" applyAlignment="1">
      <alignment horizontal="left" vertical="center"/>
    </xf>
    <xf numFmtId="164" fontId="7" fillId="0" borderId="28" xfId="0" applyNumberFormat="1" applyFont="1" applyBorder="1" applyAlignment="1">
      <alignment horizontal="right" vertical="center"/>
    </xf>
    <xf numFmtId="164" fontId="7" fillId="5" borderId="47" xfId="0" applyNumberFormat="1" applyFont="1" applyFill="1" applyBorder="1" applyAlignment="1">
      <alignment horizontal="right" vertical="center"/>
    </xf>
    <xf numFmtId="164" fontId="7" fillId="4" borderId="44" xfId="0" applyNumberFormat="1" applyFont="1" applyFill="1" applyBorder="1" applyAlignment="1">
      <alignment horizontal="right" vertical="center"/>
    </xf>
    <xf numFmtId="166" fontId="8" fillId="5" borderId="47" xfId="0" applyNumberFormat="1" applyFont="1" applyFill="1" applyBorder="1" applyAlignment="1">
      <alignment horizontal="center" vertical="center"/>
    </xf>
    <xf numFmtId="164" fontId="7" fillId="4" borderId="29" xfId="0" applyNumberFormat="1" applyFont="1" applyFill="1" applyBorder="1" applyAlignment="1">
      <alignment horizontal="right" vertical="center"/>
    </xf>
    <xf numFmtId="0" fontId="7" fillId="0" borderId="42" xfId="0" applyFont="1" applyBorder="1" applyAlignment="1">
      <alignment horizontal="center" vertical="center"/>
    </xf>
    <xf numFmtId="0" fontId="7" fillId="5" borderId="28" xfId="0" applyFont="1" applyFill="1" applyBorder="1" applyAlignment="1">
      <alignment horizontal="left" vertical="center"/>
    </xf>
    <xf numFmtId="0" fontId="7" fillId="4" borderId="44" xfId="0" applyFont="1" applyFill="1" applyBorder="1" applyAlignment="1">
      <alignment horizontal="left" vertical="center" wrapText="1"/>
    </xf>
    <xf numFmtId="0" fontId="7" fillId="0" borderId="0" xfId="0" applyFont="1" applyAlignment="1">
      <alignment horizontal="center" vertical="center"/>
    </xf>
    <xf numFmtId="0" fontId="7" fillId="0" borderId="3" xfId="0" applyFont="1" applyBorder="1" applyAlignment="1">
      <alignment horizontal="left" vertical="center"/>
    </xf>
    <xf numFmtId="9" fontId="7" fillId="7" borderId="50" xfId="0" applyNumberFormat="1" applyFont="1" applyFill="1" applyBorder="1" applyAlignment="1">
      <alignment horizontal="center" vertical="center"/>
    </xf>
    <xf numFmtId="9" fontId="7" fillId="7" borderId="51" xfId="0" applyNumberFormat="1" applyFont="1" applyFill="1" applyBorder="1" applyAlignment="1">
      <alignment horizontal="center" vertical="center"/>
    </xf>
    <xf numFmtId="9" fontId="7" fillId="7" borderId="52" xfId="0" applyNumberFormat="1" applyFont="1" applyFill="1" applyBorder="1" applyAlignment="1">
      <alignment horizontal="center" vertical="center"/>
    </xf>
    <xf numFmtId="164" fontId="7" fillId="0" borderId="3" xfId="0" applyNumberFormat="1" applyFont="1" applyBorder="1" applyAlignment="1">
      <alignment horizontal="right" vertical="center"/>
    </xf>
    <xf numFmtId="164" fontId="7" fillId="5" borderId="4" xfId="0" applyNumberFormat="1" applyFont="1" applyFill="1" applyBorder="1" applyAlignment="1">
      <alignment horizontal="right" vertical="center"/>
    </xf>
    <xf numFmtId="164" fontId="7" fillId="4" borderId="5" xfId="0" applyNumberFormat="1" applyFont="1" applyFill="1" applyBorder="1" applyAlignment="1">
      <alignment horizontal="right" vertical="center"/>
    </xf>
    <xf numFmtId="0" fontId="7" fillId="0" borderId="71" xfId="0" applyFont="1" applyBorder="1" applyAlignment="1">
      <alignment horizontal="center" vertical="center"/>
    </xf>
    <xf numFmtId="0" fontId="7" fillId="5" borderId="3" xfId="0" applyFont="1" applyFill="1" applyBorder="1" applyAlignment="1">
      <alignment horizontal="left" vertical="center" wrapText="1"/>
    </xf>
    <xf numFmtId="0" fontId="7" fillId="0" borderId="11" xfId="0" applyFont="1" applyBorder="1" applyAlignment="1">
      <alignment horizontal="left" vertical="center"/>
    </xf>
    <xf numFmtId="9" fontId="7" fillId="7" borderId="53" xfId="0" applyNumberFormat="1" applyFont="1" applyFill="1" applyBorder="1" applyAlignment="1">
      <alignment horizontal="center" vertical="center"/>
    </xf>
    <xf numFmtId="9" fontId="7" fillId="7" borderId="49" xfId="0" applyNumberFormat="1" applyFont="1" applyFill="1" applyBorder="1" applyAlignment="1">
      <alignment horizontal="center" vertical="center"/>
    </xf>
    <xf numFmtId="9" fontId="7" fillId="7" borderId="54" xfId="0" applyNumberFormat="1" applyFont="1" applyFill="1" applyBorder="1" applyAlignment="1">
      <alignment horizontal="center" vertical="center"/>
    </xf>
    <xf numFmtId="164" fontId="7" fillId="0" borderId="11" xfId="0" applyNumberFormat="1" applyFont="1" applyBorder="1" applyAlignment="1">
      <alignment horizontal="right" vertical="center"/>
    </xf>
    <xf numFmtId="164" fontId="7" fillId="5" borderId="1" xfId="0" applyNumberFormat="1" applyFont="1" applyFill="1" applyBorder="1" applyAlignment="1">
      <alignment horizontal="right" vertical="center"/>
    </xf>
    <xf numFmtId="164" fontId="7" fillId="4" borderId="12" xfId="0" applyNumberFormat="1" applyFont="1" applyFill="1" applyBorder="1" applyAlignment="1">
      <alignment horizontal="right" vertical="center"/>
    </xf>
    <xf numFmtId="0" fontId="7" fillId="0" borderId="72" xfId="0" applyFont="1" applyBorder="1" applyAlignment="1">
      <alignment horizontal="center" vertical="center"/>
    </xf>
    <xf numFmtId="0" fontId="7" fillId="5" borderId="11" xfId="0" applyFont="1" applyFill="1" applyBorder="1" applyAlignment="1">
      <alignment horizontal="left" vertical="center"/>
    </xf>
    <xf numFmtId="0" fontId="7" fillId="0" borderId="6" xfId="0" applyFont="1" applyBorder="1" applyAlignment="1">
      <alignment horizontal="left" vertical="center"/>
    </xf>
    <xf numFmtId="9" fontId="7" fillId="7" borderId="55" xfId="0" applyNumberFormat="1" applyFont="1" applyFill="1" applyBorder="1" applyAlignment="1">
      <alignment horizontal="center" vertical="center"/>
    </xf>
    <xf numFmtId="9" fontId="7" fillId="7" borderId="56" xfId="0" applyNumberFormat="1" applyFont="1" applyFill="1" applyBorder="1" applyAlignment="1">
      <alignment horizontal="center" vertical="center"/>
    </xf>
    <xf numFmtId="9" fontId="7" fillId="7" borderId="57" xfId="0" applyNumberFormat="1" applyFont="1" applyFill="1" applyBorder="1" applyAlignment="1">
      <alignment horizontal="center" vertical="center"/>
    </xf>
    <xf numFmtId="164" fontId="7" fillId="0" borderId="6" xfId="0" applyNumberFormat="1" applyFont="1" applyBorder="1" applyAlignment="1">
      <alignment horizontal="right" vertical="center"/>
    </xf>
    <xf numFmtId="164" fontId="7" fillId="5" borderId="7" xfId="0" applyNumberFormat="1" applyFont="1" applyFill="1" applyBorder="1" applyAlignment="1">
      <alignment horizontal="right" vertical="center"/>
    </xf>
    <xf numFmtId="164" fontId="7" fillId="4" borderId="8" xfId="0" applyNumberFormat="1" applyFont="1" applyFill="1" applyBorder="1" applyAlignment="1">
      <alignment horizontal="right" vertical="center"/>
    </xf>
    <xf numFmtId="0" fontId="7" fillId="0" borderId="73" xfId="0" applyFont="1" applyBorder="1" applyAlignment="1">
      <alignment horizontal="center" vertical="center"/>
    </xf>
    <xf numFmtId="0" fontId="7" fillId="5" borderId="6" xfId="0" applyFont="1" applyFill="1" applyBorder="1" applyAlignment="1">
      <alignment horizontal="left" vertical="center" wrapText="1"/>
    </xf>
    <xf numFmtId="0" fontId="7" fillId="4" borderId="14" xfId="0" applyFont="1" applyFill="1" applyBorder="1" applyAlignment="1">
      <alignment horizontal="left" vertical="center"/>
    </xf>
    <xf numFmtId="9" fontId="7" fillId="4" borderId="78" xfId="0" applyNumberFormat="1" applyFont="1" applyFill="1" applyBorder="1" applyAlignment="1">
      <alignment horizontal="center" vertical="center"/>
    </xf>
    <xf numFmtId="164" fontId="7" fillId="0" borderId="41" xfId="0" applyNumberFormat="1" applyFont="1" applyBorder="1" applyAlignment="1">
      <alignment horizontal="right" vertical="center"/>
    </xf>
    <xf numFmtId="164" fontId="7" fillId="5" borderId="48" xfId="0" applyNumberFormat="1" applyFont="1" applyFill="1" applyBorder="1" applyAlignment="1">
      <alignment horizontal="right" vertical="center"/>
    </xf>
    <xf numFmtId="164" fontId="7" fillId="4" borderId="45" xfId="0" applyNumberFormat="1" applyFont="1" applyFill="1" applyBorder="1" applyAlignment="1">
      <alignment horizontal="right" vertical="center"/>
    </xf>
    <xf numFmtId="166" fontId="7" fillId="5" borderId="48" xfId="0" applyNumberFormat="1" applyFont="1" applyFill="1" applyBorder="1" applyAlignment="1">
      <alignment horizontal="center" vertical="center"/>
    </xf>
    <xf numFmtId="164" fontId="7" fillId="4" borderId="78" xfId="0" applyNumberFormat="1" applyFont="1" applyFill="1" applyBorder="1" applyAlignment="1">
      <alignment horizontal="right" vertical="center"/>
    </xf>
    <xf numFmtId="0" fontId="7" fillId="5" borderId="41" xfId="0" applyFont="1" applyFill="1" applyBorder="1" applyAlignment="1">
      <alignment horizontal="left" vertical="center" wrapText="1"/>
    </xf>
    <xf numFmtId="0" fontId="7" fillId="4" borderId="45" xfId="0" quotePrefix="1" applyFont="1" applyFill="1" applyBorder="1" applyAlignment="1">
      <alignment horizontal="left" vertical="center" wrapText="1"/>
    </xf>
    <xf numFmtId="9" fontId="7" fillId="4" borderId="12" xfId="0" applyNumberFormat="1" applyFont="1" applyFill="1" applyBorder="1" applyAlignment="1">
      <alignment horizontal="center" vertical="center"/>
    </xf>
    <xf numFmtId="164" fontId="7" fillId="4" borderId="15" xfId="0" applyNumberFormat="1" applyFont="1" applyFill="1" applyBorder="1" applyAlignment="1">
      <alignment horizontal="right" vertical="center"/>
    </xf>
    <xf numFmtId="166" fontId="7" fillId="5" borderId="1" xfId="0" applyNumberFormat="1" applyFont="1" applyFill="1" applyBorder="1" applyAlignment="1">
      <alignment horizontal="center" vertical="center"/>
    </xf>
    <xf numFmtId="0" fontId="7" fillId="5" borderId="11" xfId="0" applyFont="1" applyFill="1" applyBorder="1" applyAlignment="1">
      <alignment horizontal="left" vertical="center" wrapText="1"/>
    </xf>
    <xf numFmtId="0" fontId="7" fillId="4" borderId="15" xfId="0" quotePrefix="1" applyFont="1" applyFill="1" applyBorder="1" applyAlignment="1">
      <alignment horizontal="left" vertical="center" wrapText="1"/>
    </xf>
    <xf numFmtId="164" fontId="7" fillId="0" borderId="16" xfId="0" applyNumberFormat="1" applyFont="1" applyBorder="1" applyAlignment="1">
      <alignment horizontal="right" vertical="center"/>
    </xf>
    <xf numFmtId="164" fontId="7" fillId="5" borderId="31" xfId="0" applyNumberFormat="1" applyFont="1" applyFill="1" applyBorder="1" applyAlignment="1">
      <alignment horizontal="right" vertical="center"/>
    </xf>
    <xf numFmtId="164" fontId="7" fillId="4" borderId="17" xfId="0" applyNumberFormat="1" applyFont="1" applyFill="1" applyBorder="1" applyAlignment="1">
      <alignment horizontal="right" vertical="center"/>
    </xf>
    <xf numFmtId="164" fontId="7" fillId="5" borderId="31" xfId="0" applyNumberFormat="1" applyFont="1" applyFill="1" applyBorder="1" applyAlignment="1">
      <alignment horizontal="center" vertical="center"/>
    </xf>
    <xf numFmtId="164" fontId="7" fillId="4" borderId="86" xfId="0" applyNumberFormat="1" applyFont="1" applyFill="1" applyBorder="1" applyAlignment="1">
      <alignment horizontal="right" vertical="center"/>
    </xf>
    <xf numFmtId="0" fontId="7" fillId="5" borderId="16" xfId="0" applyFont="1" applyFill="1" applyBorder="1" applyAlignment="1">
      <alignment horizontal="left" vertical="center"/>
    </xf>
    <xf numFmtId="0" fontId="7" fillId="4" borderId="17" xfId="0" quotePrefix="1" applyFont="1" applyFill="1" applyBorder="1" applyAlignment="1">
      <alignment horizontal="left" vertical="center" wrapText="1"/>
    </xf>
    <xf numFmtId="166" fontId="7" fillId="5" borderId="4" xfId="0" applyNumberFormat="1" applyFont="1" applyFill="1" applyBorder="1" applyAlignment="1">
      <alignment horizontal="center"/>
    </xf>
    <xf numFmtId="0" fontId="7" fillId="5" borderId="28" xfId="0" applyFont="1" applyFill="1" applyBorder="1" applyAlignment="1">
      <alignment horizontal="left" vertical="center" wrapText="1"/>
    </xf>
    <xf numFmtId="0" fontId="7" fillId="4" borderId="13" xfId="0" quotePrefix="1" applyFont="1" applyFill="1" applyBorder="1" applyAlignment="1">
      <alignment horizontal="left" vertical="center" wrapText="1"/>
    </xf>
    <xf numFmtId="0" fontId="7" fillId="5" borderId="79" xfId="0" applyFont="1" applyFill="1" applyBorder="1" applyAlignment="1">
      <alignment horizontal="left" vertical="center" wrapText="1"/>
    </xf>
    <xf numFmtId="0" fontId="7" fillId="4" borderId="14" xfId="0" quotePrefix="1" applyFont="1" applyFill="1" applyBorder="1" applyAlignment="1">
      <alignment horizontal="left" vertical="center"/>
    </xf>
    <xf numFmtId="0" fontId="7" fillId="5" borderId="79" xfId="0" quotePrefix="1" applyFont="1" applyFill="1" applyBorder="1" applyAlignment="1">
      <alignment horizontal="left" vertical="center" wrapText="1"/>
    </xf>
    <xf numFmtId="0" fontId="7" fillId="5" borderId="3" xfId="0" applyFont="1" applyFill="1" applyBorder="1" applyAlignment="1">
      <alignment horizontal="left" vertical="center"/>
    </xf>
    <xf numFmtId="0" fontId="7" fillId="4" borderId="13" xfId="0" applyFont="1" applyFill="1" applyBorder="1" applyAlignment="1">
      <alignment horizontal="left" vertical="center"/>
    </xf>
    <xf numFmtId="0" fontId="7" fillId="5" borderId="6" xfId="0" quotePrefix="1" applyFont="1" applyFill="1" applyBorder="1" applyAlignment="1">
      <alignment horizontal="left" vertical="center" wrapText="1"/>
    </xf>
    <xf numFmtId="0" fontId="7" fillId="4" borderId="45" xfId="0" quotePrefix="1" applyFont="1" applyFill="1" applyBorder="1" applyAlignment="1">
      <alignment horizontal="left" vertical="center"/>
    </xf>
    <xf numFmtId="0" fontId="7" fillId="5" borderId="6" xfId="0" applyFont="1" applyFill="1" applyBorder="1" applyAlignment="1">
      <alignment horizontal="left" vertical="center"/>
    </xf>
    <xf numFmtId="164" fontId="7" fillId="0" borderId="87" xfId="0" applyNumberFormat="1" applyFont="1" applyBorder="1" applyAlignment="1">
      <alignment horizontal="right" vertical="center"/>
    </xf>
    <xf numFmtId="164" fontId="7" fillId="5" borderId="82" xfId="0" applyNumberFormat="1" applyFont="1" applyFill="1" applyBorder="1" applyAlignment="1">
      <alignment horizontal="right" vertical="center"/>
    </xf>
    <xf numFmtId="164" fontId="7" fillId="4" borderId="88" xfId="0" applyNumberFormat="1" applyFont="1" applyFill="1" applyBorder="1" applyAlignment="1">
      <alignment horizontal="right" vertical="center"/>
    </xf>
    <xf numFmtId="164" fontId="7" fillId="4" borderId="89" xfId="0" applyNumberFormat="1" applyFont="1" applyFill="1" applyBorder="1" applyAlignment="1">
      <alignment horizontal="right" vertical="center"/>
    </xf>
    <xf numFmtId="0" fontId="7" fillId="0" borderId="74" xfId="0" applyFont="1" applyBorder="1" applyAlignment="1">
      <alignment horizontal="center" vertical="center"/>
    </xf>
    <xf numFmtId="0" fontId="7" fillId="5" borderId="38" xfId="0" applyFont="1" applyFill="1" applyBorder="1" applyAlignment="1">
      <alignment horizontal="left" vertical="center"/>
    </xf>
    <xf numFmtId="0" fontId="7" fillId="4" borderId="34" xfId="0" applyFont="1" applyFill="1" applyBorder="1" applyAlignment="1">
      <alignment horizontal="left" vertical="center"/>
    </xf>
    <xf numFmtId="0" fontId="9" fillId="0" borderId="0" xfId="0" applyFont="1" applyAlignment="1">
      <alignment horizontal="left" vertical="center"/>
    </xf>
    <xf numFmtId="0" fontId="9" fillId="0" borderId="0" xfId="0" applyFont="1" applyAlignment="1">
      <alignment horizontal="center" vertical="center"/>
    </xf>
    <xf numFmtId="164" fontId="10" fillId="2" borderId="2" xfId="0" applyNumberFormat="1" applyFont="1" applyFill="1" applyBorder="1" applyAlignment="1">
      <alignment horizontal="right" vertical="center"/>
    </xf>
    <xf numFmtId="164" fontId="10" fillId="2" borderId="26" xfId="0" applyNumberFormat="1" applyFont="1" applyFill="1" applyBorder="1" applyAlignment="1">
      <alignment vertical="center"/>
    </xf>
    <xf numFmtId="164" fontId="10" fillId="2" borderId="37" xfId="0" applyNumberFormat="1" applyFont="1" applyFill="1" applyBorder="1" applyAlignment="1">
      <alignment vertical="center"/>
    </xf>
    <xf numFmtId="164" fontId="10" fillId="2" borderId="27" xfId="0" applyNumberFormat="1" applyFont="1" applyFill="1" applyBorder="1" applyAlignment="1">
      <alignment vertical="center"/>
    </xf>
    <xf numFmtId="164" fontId="10" fillId="0" borderId="80" xfId="0" applyNumberFormat="1" applyFont="1" applyBorder="1" applyAlignment="1">
      <alignment vertical="center"/>
    </xf>
    <xf numFmtId="0" fontId="11" fillId="2" borderId="6" xfId="0" applyFont="1" applyFill="1" applyBorder="1" applyAlignment="1">
      <alignment horizontal="center" textRotation="90"/>
    </xf>
    <xf numFmtId="0" fontId="11" fillId="2" borderId="7" xfId="0" applyFont="1" applyFill="1" applyBorder="1" applyAlignment="1">
      <alignment horizontal="center" textRotation="90"/>
    </xf>
    <xf numFmtId="0" fontId="11" fillId="2" borderId="14" xfId="0" applyFont="1" applyFill="1" applyBorder="1" applyAlignment="1">
      <alignment horizontal="center" textRotation="90"/>
    </xf>
    <xf numFmtId="0" fontId="11" fillId="2" borderId="81" xfId="0" applyFont="1" applyFill="1" applyBorder="1" applyAlignment="1">
      <alignment horizontal="center" textRotation="90"/>
    </xf>
    <xf numFmtId="0" fontId="11" fillId="2" borderId="17" xfId="0" applyFont="1" applyFill="1" applyBorder="1" applyAlignment="1">
      <alignment horizontal="center" textRotation="90"/>
    </xf>
    <xf numFmtId="0" fontId="11" fillId="2" borderId="6"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6" xfId="0" applyFont="1" applyFill="1" applyBorder="1" applyAlignment="1">
      <alignment horizontal="center" textRotation="90" wrapText="1"/>
    </xf>
    <xf numFmtId="0" fontId="7" fillId="0" borderId="3" xfId="0" applyFont="1" applyBorder="1" applyAlignment="1">
      <alignment horizontal="left" vertical="center" wrapText="1"/>
    </xf>
    <xf numFmtId="0" fontId="7" fillId="0" borderId="6" xfId="0" applyFont="1" applyBorder="1" applyAlignment="1">
      <alignment horizontal="left" vertical="center" wrapText="1"/>
    </xf>
    <xf numFmtId="0" fontId="7" fillId="0" borderId="2" xfId="0" applyFont="1" applyBorder="1" applyAlignment="1">
      <alignment horizontal="left" vertical="center" wrapText="1"/>
    </xf>
    <xf numFmtId="0" fontId="7" fillId="0" borderId="18" xfId="0" applyFont="1" applyBorder="1" applyAlignment="1">
      <alignment horizontal="left" vertical="center"/>
    </xf>
    <xf numFmtId="0" fontId="7" fillId="0" borderId="19" xfId="0" applyFont="1" applyBorder="1" applyAlignment="1">
      <alignment horizontal="left" vertical="center"/>
    </xf>
    <xf numFmtId="0" fontId="7" fillId="0" borderId="20" xfId="0" applyFont="1" applyBorder="1" applyAlignment="1">
      <alignment horizontal="left" vertical="center"/>
    </xf>
    <xf numFmtId="0" fontId="7" fillId="0" borderId="18" xfId="0" quotePrefix="1" applyFont="1" applyBorder="1" applyAlignment="1">
      <alignment horizontal="left" vertical="center" wrapText="1"/>
    </xf>
    <xf numFmtId="0" fontId="7" fillId="0" borderId="20" xfId="0" quotePrefix="1" applyFont="1" applyBorder="1" applyAlignment="1">
      <alignment horizontal="left" vertical="center" wrapText="1"/>
    </xf>
    <xf numFmtId="0" fontId="7" fillId="0" borderId="18" xfId="0" applyFont="1" applyBorder="1" applyAlignment="1">
      <alignment horizontal="left" vertical="center" wrapText="1"/>
    </xf>
    <xf numFmtId="0" fontId="7" fillId="0" borderId="36" xfId="0" applyFont="1" applyBorder="1" applyAlignment="1">
      <alignment horizontal="left" vertical="center"/>
    </xf>
    <xf numFmtId="0" fontId="7" fillId="4" borderId="17" xfId="0" quotePrefix="1" applyFont="1" applyFill="1" applyBorder="1" applyAlignment="1">
      <alignment horizontal="left" vertical="center"/>
    </xf>
    <xf numFmtId="4" fontId="0" fillId="0" borderId="12" xfId="0" applyNumberFormat="1" applyBorder="1" applyAlignment="1" applyProtection="1">
      <alignment horizontal="left" vertical="center" wrapText="1"/>
      <protection locked="0"/>
    </xf>
    <xf numFmtId="0" fontId="0" fillId="0" borderId="12" xfId="0" applyBorder="1" applyAlignment="1">
      <alignment vertical="center" wrapText="1"/>
    </xf>
    <xf numFmtId="0" fontId="7" fillId="4" borderId="13" xfId="0" applyFont="1" applyFill="1" applyBorder="1" applyAlignment="1">
      <alignment horizontal="left" vertical="center" wrapText="1"/>
    </xf>
    <xf numFmtId="0" fontId="7" fillId="4" borderId="15" xfId="0" applyFont="1" applyFill="1" applyBorder="1" applyAlignment="1">
      <alignment horizontal="left" vertical="center" wrapText="1"/>
    </xf>
    <xf numFmtId="0" fontId="7" fillId="4" borderId="14" xfId="0" applyFont="1" applyFill="1" applyBorder="1" applyAlignment="1">
      <alignment horizontal="left" vertical="center" wrapText="1"/>
    </xf>
    <xf numFmtId="0" fontId="7" fillId="0" borderId="1" xfId="0" applyFont="1" applyBorder="1" applyAlignment="1">
      <alignment horizontal="center" vertical="center"/>
    </xf>
    <xf numFmtId="0" fontId="2" fillId="2" borderId="80" xfId="0" applyFont="1" applyFill="1" applyBorder="1" applyAlignment="1">
      <alignment horizontal="center" wrapText="1"/>
    </xf>
    <xf numFmtId="0" fontId="7" fillId="0" borderId="80" xfId="0" applyFont="1" applyBorder="1" applyAlignment="1">
      <alignment horizontal="center" vertical="center" wrapText="1"/>
    </xf>
    <xf numFmtId="0" fontId="7" fillId="0" borderId="80" xfId="0" applyFont="1" applyBorder="1" applyAlignment="1">
      <alignment horizontal="center" vertical="center"/>
    </xf>
    <xf numFmtId="0" fontId="7" fillId="0" borderId="27" xfId="0" applyFont="1" applyBorder="1" applyAlignment="1">
      <alignment horizontal="left" vertical="center"/>
    </xf>
    <xf numFmtId="0" fontId="7" fillId="0" borderId="4" xfId="0" applyFont="1" applyBorder="1" applyAlignment="1">
      <alignment horizontal="center" vertical="center"/>
    </xf>
    <xf numFmtId="0" fontId="7" fillId="0" borderId="5" xfId="0" applyFont="1" applyBorder="1" applyAlignment="1">
      <alignment horizontal="left" vertical="center"/>
    </xf>
    <xf numFmtId="0" fontId="7" fillId="0" borderId="12" xfId="0" applyFont="1" applyBorder="1" applyAlignment="1">
      <alignment horizontal="left" vertical="center"/>
    </xf>
    <xf numFmtId="0" fontId="7" fillId="0" borderId="7" xfId="0" applyFont="1" applyBorder="1" applyAlignment="1">
      <alignment horizontal="center" vertical="center"/>
    </xf>
    <xf numFmtId="0" fontId="7" fillId="0" borderId="8" xfId="0" applyFont="1" applyBorder="1" applyAlignment="1">
      <alignment horizontal="left" vertical="center"/>
    </xf>
    <xf numFmtId="0" fontId="7" fillId="0" borderId="7" xfId="0" applyFont="1" applyBorder="1" applyAlignment="1">
      <alignment horizontal="center" vertical="center" wrapText="1"/>
    </xf>
    <xf numFmtId="0" fontId="7" fillId="0" borderId="5" xfId="0" applyFont="1" applyBorder="1" applyAlignment="1">
      <alignment horizontal="left" vertical="center" wrapText="1"/>
    </xf>
    <xf numFmtId="0" fontId="7" fillId="0" borderId="4" xfId="0" applyFont="1" applyBorder="1" applyAlignment="1">
      <alignment horizontal="center" vertical="center" wrapText="1"/>
    </xf>
    <xf numFmtId="0" fontId="7" fillId="0" borderId="8" xfId="0" applyFont="1" applyBorder="1" applyAlignment="1">
      <alignment horizontal="left" vertical="center" wrapText="1"/>
    </xf>
    <xf numFmtId="164" fontId="7" fillId="0" borderId="47" xfId="0" applyNumberFormat="1" applyFont="1" applyBorder="1" applyAlignment="1">
      <alignment horizontal="right" vertical="center"/>
    </xf>
    <xf numFmtId="164" fontId="7" fillId="0" borderId="4" xfId="0" applyNumberFormat="1" applyFont="1" applyBorder="1" applyAlignment="1">
      <alignment horizontal="right" vertical="center"/>
    </xf>
    <xf numFmtId="164" fontId="7" fillId="0" borderId="1" xfId="0" applyNumberFormat="1" applyFont="1" applyBorder="1" applyAlignment="1">
      <alignment horizontal="right" vertical="center"/>
    </xf>
    <xf numFmtId="164" fontId="7" fillId="0" borderId="7" xfId="0" applyNumberFormat="1" applyFont="1" applyBorder="1" applyAlignment="1">
      <alignment horizontal="right" vertical="center"/>
    </xf>
    <xf numFmtId="0" fontId="2" fillId="2" borderId="27" xfId="0" applyFont="1" applyFill="1" applyBorder="1" applyAlignment="1">
      <alignment horizontal="center" wrapText="1"/>
    </xf>
    <xf numFmtId="0" fontId="7" fillId="0" borderId="1" xfId="0" applyFont="1" applyBorder="1" applyAlignment="1">
      <alignment horizontal="center" vertical="center" wrapText="1"/>
    </xf>
    <xf numFmtId="0" fontId="7" fillId="0" borderId="19" xfId="0" quotePrefix="1" applyFont="1" applyBorder="1" applyAlignment="1">
      <alignment horizontal="left" vertical="center" wrapText="1"/>
    </xf>
    <xf numFmtId="164" fontId="7" fillId="6" borderId="47" xfId="0" applyNumberFormat="1" applyFont="1" applyFill="1" applyBorder="1" applyAlignment="1">
      <alignment horizontal="right" vertical="center"/>
    </xf>
    <xf numFmtId="164" fontId="7" fillId="6" borderId="4" xfId="0" applyNumberFormat="1" applyFont="1" applyFill="1" applyBorder="1" applyAlignment="1">
      <alignment horizontal="right" vertical="center"/>
    </xf>
    <xf numFmtId="164" fontId="7" fillId="6" borderId="1" xfId="0" applyNumberFormat="1" applyFont="1" applyFill="1" applyBorder="1" applyAlignment="1">
      <alignment horizontal="right" vertical="center"/>
    </xf>
    <xf numFmtId="164" fontId="7" fillId="6" borderId="7" xfId="0" applyNumberFormat="1" applyFont="1" applyFill="1" applyBorder="1" applyAlignment="1">
      <alignment horizontal="right" vertical="center"/>
    </xf>
    <xf numFmtId="164" fontId="7" fillId="6" borderId="48" xfId="0" applyNumberFormat="1" applyFont="1" applyFill="1" applyBorder="1" applyAlignment="1">
      <alignment horizontal="right" vertical="center"/>
    </xf>
    <xf numFmtId="164" fontId="7" fillId="6" borderId="31" xfId="0" applyNumberFormat="1" applyFont="1" applyFill="1" applyBorder="1" applyAlignment="1">
      <alignment horizontal="right" vertical="center"/>
    </xf>
    <xf numFmtId="164" fontId="7" fillId="6" borderId="82" xfId="0" applyNumberFormat="1" applyFont="1" applyFill="1" applyBorder="1" applyAlignment="1">
      <alignment horizontal="right" vertical="center"/>
    </xf>
    <xf numFmtId="0" fontId="7" fillId="6" borderId="28" xfId="0" applyFont="1" applyFill="1" applyBorder="1" applyAlignment="1">
      <alignment horizontal="left" vertical="center"/>
    </xf>
    <xf numFmtId="0" fontId="7" fillId="6" borderId="3" xfId="0" quotePrefix="1" applyFont="1" applyFill="1" applyBorder="1" applyAlignment="1">
      <alignment horizontal="left" vertical="center" wrapText="1"/>
    </xf>
    <xf numFmtId="0" fontId="7" fillId="6" borderId="11" xfId="0" applyFont="1" applyFill="1" applyBorder="1" applyAlignment="1">
      <alignment horizontal="left" vertical="center"/>
    </xf>
    <xf numFmtId="0" fontId="7" fillId="6" borderId="6" xfId="0" quotePrefix="1" applyFont="1" applyFill="1" applyBorder="1" applyAlignment="1">
      <alignment horizontal="left" vertical="center" wrapText="1"/>
    </xf>
    <xf numFmtId="0" fontId="7" fillId="6" borderId="41" xfId="0" applyFont="1" applyFill="1" applyBorder="1" applyAlignment="1">
      <alignment horizontal="left" vertical="center" wrapText="1"/>
    </xf>
    <xf numFmtId="0" fontId="7" fillId="6" borderId="11" xfId="0" applyFont="1" applyFill="1" applyBorder="1" applyAlignment="1">
      <alignment horizontal="left" vertical="center" wrapText="1"/>
    </xf>
    <xf numFmtId="0" fontId="7" fillId="6" borderId="16" xfId="0" applyFont="1" applyFill="1" applyBorder="1" applyAlignment="1">
      <alignment horizontal="left" vertical="center"/>
    </xf>
    <xf numFmtId="0" fontId="7" fillId="6" borderId="3" xfId="0" applyFont="1" applyFill="1" applyBorder="1" applyAlignment="1">
      <alignment horizontal="left" vertical="center" wrapText="1"/>
    </xf>
    <xf numFmtId="0" fontId="7" fillId="6" borderId="91" xfId="0" applyFont="1" applyFill="1" applyBorder="1" applyAlignment="1">
      <alignment horizontal="left" vertical="center" wrapText="1"/>
    </xf>
    <xf numFmtId="0" fontId="7" fillId="6" borderId="92" xfId="0" quotePrefix="1" applyFont="1" applyFill="1" applyBorder="1" applyAlignment="1">
      <alignment horizontal="left" vertical="center" wrapText="1"/>
    </xf>
    <xf numFmtId="0" fontId="7" fillId="6" borderId="3" xfId="0" applyFont="1" applyFill="1" applyBorder="1" applyAlignment="1">
      <alignment horizontal="left" vertical="center"/>
    </xf>
    <xf numFmtId="0" fontId="7" fillId="6" borderId="6" xfId="0" applyFont="1" applyFill="1" applyBorder="1" applyAlignment="1">
      <alignment horizontal="left" vertical="center"/>
    </xf>
    <xf numFmtId="0" fontId="7" fillId="6" borderId="38" xfId="0" applyFont="1" applyFill="1" applyBorder="1" applyAlignment="1">
      <alignment horizontal="left" vertical="center"/>
    </xf>
    <xf numFmtId="0" fontId="11" fillId="2" borderId="31" xfId="0" applyFont="1" applyFill="1" applyBorder="1" applyAlignment="1">
      <alignment horizontal="center" textRotation="90"/>
    </xf>
    <xf numFmtId="164" fontId="10" fillId="2" borderId="80" xfId="0" applyNumberFormat="1" applyFont="1" applyFill="1" applyBorder="1" applyAlignment="1">
      <alignment vertical="center"/>
    </xf>
    <xf numFmtId="164" fontId="7" fillId="4" borderId="47" xfId="0" applyNumberFormat="1" applyFont="1" applyFill="1" applyBorder="1" applyAlignment="1">
      <alignment horizontal="right" vertical="center"/>
    </xf>
    <xf numFmtId="164" fontId="7" fillId="4" borderId="4" xfId="0" applyNumberFormat="1" applyFont="1" applyFill="1" applyBorder="1" applyAlignment="1">
      <alignment horizontal="right" vertical="center"/>
    </xf>
    <xf numFmtId="164" fontId="7" fillId="4" borderId="1" xfId="0" applyNumberFormat="1" applyFont="1" applyFill="1" applyBorder="1" applyAlignment="1">
      <alignment horizontal="right" vertical="center"/>
    </xf>
    <xf numFmtId="164" fontId="7" fillId="4" borderId="7" xfId="0" applyNumberFormat="1" applyFont="1" applyFill="1" applyBorder="1" applyAlignment="1">
      <alignment horizontal="right" vertical="center"/>
    </xf>
    <xf numFmtId="164" fontId="7" fillId="4" borderId="48" xfId="0" applyNumberFormat="1" applyFont="1" applyFill="1" applyBorder="1" applyAlignment="1">
      <alignment horizontal="right" vertical="center"/>
    </xf>
    <xf numFmtId="164" fontId="7" fillId="4" borderId="31" xfId="0" applyNumberFormat="1" applyFont="1" applyFill="1" applyBorder="1" applyAlignment="1">
      <alignment horizontal="right" vertical="center"/>
    </xf>
    <xf numFmtId="164" fontId="7" fillId="4" borderId="35" xfId="0" applyNumberFormat="1" applyFont="1" applyFill="1" applyBorder="1" applyAlignment="1">
      <alignment horizontal="right" vertical="center"/>
    </xf>
    <xf numFmtId="164" fontId="7" fillId="4" borderId="93" xfId="0" applyNumberFormat="1" applyFont="1" applyFill="1" applyBorder="1" applyAlignment="1">
      <alignment horizontal="right" vertical="center"/>
    </xf>
    <xf numFmtId="164" fontId="10" fillId="0" borderId="27" xfId="0" applyNumberFormat="1" applyFont="1" applyBorder="1" applyAlignment="1">
      <alignment vertical="center"/>
    </xf>
    <xf numFmtId="164" fontId="7" fillId="4" borderId="28" xfId="0" applyNumberFormat="1" applyFont="1" applyFill="1" applyBorder="1" applyAlignment="1">
      <alignment horizontal="right" vertical="center"/>
    </xf>
    <xf numFmtId="164" fontId="7" fillId="4" borderId="3" xfId="0" applyNumberFormat="1" applyFont="1" applyFill="1" applyBorder="1" applyAlignment="1">
      <alignment horizontal="right" vertical="center"/>
    </xf>
    <xf numFmtId="164" fontId="7" fillId="4" borderId="11" xfId="0" applyNumberFormat="1" applyFont="1" applyFill="1" applyBorder="1" applyAlignment="1">
      <alignment horizontal="right" vertical="center"/>
    </xf>
    <xf numFmtId="164" fontId="7" fillId="4" borderId="6" xfId="0" applyNumberFormat="1" applyFont="1" applyFill="1" applyBorder="1" applyAlignment="1">
      <alignment horizontal="right" vertical="center"/>
    </xf>
    <xf numFmtId="164" fontId="7" fillId="4" borderId="41" xfId="0" applyNumberFormat="1" applyFont="1" applyFill="1" applyBorder="1" applyAlignment="1">
      <alignment horizontal="right" vertical="center"/>
    </xf>
    <xf numFmtId="164" fontId="7" fillId="4" borderId="16" xfId="0" applyNumberFormat="1" applyFont="1" applyFill="1" applyBorder="1" applyAlignment="1">
      <alignment horizontal="right" vertical="center"/>
    </xf>
    <xf numFmtId="164" fontId="10" fillId="0" borderId="26" xfId="0" applyNumberFormat="1" applyFont="1" applyBorder="1" applyAlignment="1">
      <alignment vertical="center"/>
    </xf>
    <xf numFmtId="164" fontId="7" fillId="0" borderId="44" xfId="0" applyNumberFormat="1" applyFont="1" applyBorder="1" applyAlignment="1">
      <alignment horizontal="right" vertical="center"/>
    </xf>
    <xf numFmtId="164" fontId="7" fillId="0" borderId="13" xfId="0" applyNumberFormat="1" applyFont="1" applyBorder="1" applyAlignment="1">
      <alignment horizontal="right" vertical="center"/>
    </xf>
    <xf numFmtId="164" fontId="7" fillId="0" borderId="15" xfId="0" applyNumberFormat="1" applyFont="1" applyBorder="1" applyAlignment="1">
      <alignment horizontal="right" vertical="center"/>
    </xf>
    <xf numFmtId="164" fontId="7" fillId="0" borderId="14" xfId="0" applyNumberFormat="1" applyFont="1" applyBorder="1" applyAlignment="1">
      <alignment horizontal="right" vertical="center"/>
    </xf>
    <xf numFmtId="164" fontId="7" fillId="4" borderId="38" xfId="0" applyNumberFormat="1" applyFont="1" applyFill="1" applyBorder="1" applyAlignment="1">
      <alignment horizontal="right" vertical="center"/>
    </xf>
    <xf numFmtId="0" fontId="7" fillId="0" borderId="20" xfId="0" applyFont="1" applyBorder="1" applyAlignment="1">
      <alignment horizontal="left" vertical="center" wrapText="1"/>
    </xf>
    <xf numFmtId="0" fontId="7" fillId="6" borderId="16" xfId="0" applyFont="1" applyFill="1" applyBorder="1" applyAlignment="1">
      <alignment horizontal="left" vertical="center" wrapText="1"/>
    </xf>
    <xf numFmtId="164" fontId="7" fillId="6" borderId="94" xfId="0" applyNumberFormat="1" applyFont="1" applyFill="1" applyBorder="1" applyAlignment="1">
      <alignment horizontal="right" vertical="center"/>
    </xf>
    <xf numFmtId="164" fontId="7" fillId="4" borderId="94" xfId="0" applyNumberFormat="1" applyFont="1" applyFill="1" applyBorder="1" applyAlignment="1">
      <alignment horizontal="right" vertical="center"/>
    </xf>
    <xf numFmtId="164" fontId="7" fillId="4" borderId="95" xfId="0" applyNumberFormat="1" applyFont="1" applyFill="1" applyBorder="1" applyAlignment="1">
      <alignment horizontal="right" vertical="center"/>
    </xf>
    <xf numFmtId="2" fontId="7" fillId="9" borderId="26" xfId="0" applyNumberFormat="1" applyFont="1" applyFill="1" applyBorder="1" applyAlignment="1">
      <alignment horizontal="center" vertical="center"/>
    </xf>
    <xf numFmtId="2" fontId="7" fillId="9" borderId="37" xfId="0" applyNumberFormat="1" applyFont="1" applyFill="1" applyBorder="1" applyAlignment="1">
      <alignment horizontal="center" vertical="center"/>
    </xf>
    <xf numFmtId="2" fontId="7" fillId="9" borderId="11" xfId="0" applyNumberFormat="1" applyFont="1" applyFill="1" applyBorder="1" applyAlignment="1">
      <alignment horizontal="center" vertical="center"/>
    </xf>
    <xf numFmtId="2" fontId="7" fillId="9" borderId="15" xfId="0" applyNumberFormat="1" applyFont="1" applyFill="1" applyBorder="1" applyAlignment="1">
      <alignment horizontal="center" vertical="center"/>
    </xf>
    <xf numFmtId="2" fontId="7" fillId="9" borderId="3" xfId="0" applyNumberFormat="1" applyFont="1" applyFill="1" applyBorder="1" applyAlignment="1">
      <alignment horizontal="center" vertical="center"/>
    </xf>
    <xf numFmtId="2" fontId="7" fillId="9" borderId="13" xfId="0" applyNumberFormat="1" applyFont="1" applyFill="1" applyBorder="1" applyAlignment="1">
      <alignment horizontal="center" vertical="center"/>
    </xf>
    <xf numFmtId="2" fontId="7" fillId="9" borderId="6" xfId="0" applyNumberFormat="1" applyFont="1" applyFill="1" applyBorder="1" applyAlignment="1">
      <alignment horizontal="center" vertical="center"/>
    </xf>
    <xf numFmtId="2" fontId="7" fillId="9" borderId="14" xfId="0" applyNumberFormat="1" applyFont="1" applyFill="1" applyBorder="1" applyAlignment="1">
      <alignment horizontal="center" vertical="center"/>
    </xf>
    <xf numFmtId="0" fontId="7" fillId="9" borderId="6" xfId="0" applyFont="1" applyFill="1" applyBorder="1" applyAlignment="1">
      <alignment horizontal="center" vertical="center"/>
    </xf>
    <xf numFmtId="0" fontId="7" fillId="9" borderId="14" xfId="0" applyFont="1" applyFill="1" applyBorder="1" applyAlignment="1">
      <alignment horizontal="center" vertical="center"/>
    </xf>
    <xf numFmtId="0" fontId="7" fillId="9" borderId="3" xfId="0" applyFont="1" applyFill="1" applyBorder="1" applyAlignment="1">
      <alignment horizontal="center" vertical="center"/>
    </xf>
    <xf numFmtId="0" fontId="7" fillId="9" borderId="13" xfId="0" applyFont="1" applyFill="1" applyBorder="1" applyAlignment="1">
      <alignment horizontal="center" vertical="center"/>
    </xf>
    <xf numFmtId="0" fontId="7" fillId="9" borderId="38" xfId="0" applyFont="1" applyFill="1" applyBorder="1" applyAlignment="1">
      <alignment horizontal="center" vertical="center"/>
    </xf>
    <xf numFmtId="0" fontId="7" fillId="9" borderId="34" xfId="0" applyFont="1" applyFill="1" applyBorder="1" applyAlignment="1">
      <alignment horizontal="center" vertical="center"/>
    </xf>
    <xf numFmtId="9" fontId="7" fillId="9" borderId="28" xfId="0" applyNumberFormat="1" applyFont="1" applyFill="1" applyBorder="1" applyAlignment="1">
      <alignment horizontal="center" vertical="center"/>
    </xf>
    <xf numFmtId="9" fontId="7" fillId="9" borderId="47" xfId="0" applyNumberFormat="1" applyFont="1" applyFill="1" applyBorder="1" applyAlignment="1">
      <alignment horizontal="center" vertical="center"/>
    </xf>
    <xf numFmtId="9" fontId="7" fillId="9" borderId="44" xfId="0" applyNumberFormat="1" applyFont="1" applyFill="1" applyBorder="1" applyAlignment="1">
      <alignment horizontal="center" vertical="center"/>
    </xf>
    <xf numFmtId="9" fontId="7" fillId="9" borderId="51" xfId="0" applyNumberFormat="1" applyFont="1" applyFill="1" applyBorder="1" applyAlignment="1">
      <alignment horizontal="center" vertical="center"/>
    </xf>
    <xf numFmtId="9" fontId="7" fillId="9" borderId="52" xfId="0" applyNumberFormat="1" applyFont="1" applyFill="1" applyBorder="1" applyAlignment="1">
      <alignment horizontal="center" vertical="center"/>
    </xf>
    <xf numFmtId="9" fontId="7" fillId="9" borderId="75" xfId="0" applyNumberFormat="1" applyFont="1" applyFill="1" applyBorder="1" applyAlignment="1">
      <alignment horizontal="center" vertical="center"/>
    </xf>
    <xf numFmtId="9" fontId="7" fillId="9" borderId="83" xfId="0" applyNumberFormat="1" applyFont="1" applyFill="1" applyBorder="1" applyAlignment="1">
      <alignment horizontal="center" vertical="center"/>
    </xf>
    <xf numFmtId="9" fontId="7" fillId="9" borderId="49" xfId="0" applyNumberFormat="1" applyFont="1" applyFill="1" applyBorder="1" applyAlignment="1">
      <alignment horizontal="center" vertical="center"/>
    </xf>
    <xf numFmtId="9" fontId="7" fillId="9" borderId="54" xfId="0" applyNumberFormat="1" applyFont="1" applyFill="1" applyBorder="1" applyAlignment="1">
      <alignment horizontal="center" vertical="center"/>
    </xf>
    <xf numFmtId="9" fontId="7" fillId="9" borderId="76" xfId="0" applyNumberFormat="1" applyFont="1" applyFill="1" applyBorder="1" applyAlignment="1">
      <alignment horizontal="center" vertical="center"/>
    </xf>
    <xf numFmtId="9" fontId="7" fillId="9" borderId="84" xfId="0" applyNumberFormat="1" applyFont="1" applyFill="1" applyBorder="1" applyAlignment="1">
      <alignment horizontal="center" vertical="center"/>
    </xf>
    <xf numFmtId="9" fontId="7" fillId="9" borderId="56" xfId="0" applyNumberFormat="1" applyFont="1" applyFill="1" applyBorder="1" applyAlignment="1">
      <alignment horizontal="center" vertical="center"/>
    </xf>
    <xf numFmtId="9" fontId="7" fillId="9" borderId="57" xfId="0" applyNumberFormat="1" applyFont="1" applyFill="1" applyBorder="1" applyAlignment="1">
      <alignment horizontal="center" vertical="center"/>
    </xf>
    <xf numFmtId="9" fontId="7" fillId="9" borderId="77" xfId="0" applyNumberFormat="1" applyFont="1" applyFill="1" applyBorder="1" applyAlignment="1">
      <alignment horizontal="center" vertical="center"/>
    </xf>
    <xf numFmtId="9" fontId="7" fillId="9" borderId="85" xfId="0" applyNumberFormat="1" applyFont="1" applyFill="1" applyBorder="1" applyAlignment="1">
      <alignment horizontal="center" vertical="center"/>
    </xf>
    <xf numFmtId="9" fontId="7" fillId="9" borderId="41" xfId="0" applyNumberFormat="1" applyFont="1" applyFill="1" applyBorder="1" applyAlignment="1">
      <alignment horizontal="center" vertical="center"/>
    </xf>
    <xf numFmtId="9" fontId="7" fillId="9" borderId="48" xfId="0" applyNumberFormat="1" applyFont="1" applyFill="1" applyBorder="1" applyAlignment="1">
      <alignment horizontal="center" vertical="center"/>
    </xf>
    <xf numFmtId="9" fontId="7" fillId="9" borderId="78" xfId="0" applyNumberFormat="1" applyFont="1" applyFill="1" applyBorder="1" applyAlignment="1">
      <alignment horizontal="center" vertical="center"/>
    </xf>
    <xf numFmtId="9" fontId="7" fillId="9" borderId="45" xfId="0" applyNumberFormat="1" applyFont="1" applyFill="1" applyBorder="1" applyAlignment="1">
      <alignment horizontal="center" vertical="center"/>
    </xf>
    <xf numFmtId="9" fontId="7" fillId="9" borderId="11" xfId="0" applyNumberFormat="1" applyFont="1" applyFill="1" applyBorder="1" applyAlignment="1">
      <alignment horizontal="center" vertical="center"/>
    </xf>
    <xf numFmtId="9" fontId="7" fillId="9" borderId="1" xfId="0" applyNumberFormat="1" applyFont="1" applyFill="1" applyBorder="1" applyAlignment="1">
      <alignment horizontal="center" vertical="center"/>
    </xf>
    <xf numFmtId="9" fontId="7" fillId="9" borderId="12" xfId="0" applyNumberFormat="1" applyFont="1" applyFill="1" applyBorder="1" applyAlignment="1">
      <alignment horizontal="center" vertical="center"/>
    </xf>
    <xf numFmtId="9" fontId="7" fillId="9" borderId="15" xfId="0" applyNumberFormat="1" applyFont="1" applyFill="1" applyBorder="1" applyAlignment="1">
      <alignment horizontal="center" vertical="center"/>
    </xf>
    <xf numFmtId="9" fontId="7" fillId="9" borderId="3" xfId="0" applyNumberFormat="1" applyFont="1" applyFill="1" applyBorder="1" applyAlignment="1">
      <alignment horizontal="center" vertical="center"/>
    </xf>
    <xf numFmtId="9" fontId="7" fillId="9" borderId="4" xfId="0" applyNumberFormat="1" applyFont="1" applyFill="1" applyBorder="1" applyAlignment="1">
      <alignment horizontal="center" vertical="center"/>
    </xf>
    <xf numFmtId="9" fontId="7" fillId="9" borderId="13" xfId="0" applyNumberFormat="1" applyFont="1" applyFill="1" applyBorder="1" applyAlignment="1">
      <alignment horizontal="center" vertical="center"/>
    </xf>
    <xf numFmtId="9" fontId="7" fillId="9" borderId="6" xfId="0" applyNumberFormat="1" applyFont="1" applyFill="1" applyBorder="1" applyAlignment="1">
      <alignment horizontal="center" vertical="center"/>
    </xf>
    <xf numFmtId="9" fontId="7" fillId="9" borderId="7" xfId="0" applyNumberFormat="1" applyFont="1" applyFill="1" applyBorder="1" applyAlignment="1">
      <alignment horizontal="center" vertical="center"/>
    </xf>
    <xf numFmtId="9" fontId="7" fillId="9" borderId="14" xfId="0" applyNumberFormat="1" applyFont="1" applyFill="1" applyBorder="1" applyAlignment="1">
      <alignment horizontal="center" vertical="center"/>
    </xf>
    <xf numFmtId="9" fontId="7" fillId="9" borderId="38" xfId="0" applyNumberFormat="1" applyFont="1" applyFill="1" applyBorder="1" applyAlignment="1">
      <alignment horizontal="center" vertical="center"/>
    </xf>
    <xf numFmtId="9" fontId="7" fillId="9" borderId="35" xfId="0" applyNumberFormat="1" applyFont="1" applyFill="1" applyBorder="1" applyAlignment="1">
      <alignment horizontal="center" vertical="center"/>
    </xf>
    <xf numFmtId="9" fontId="7" fillId="9" borderId="34" xfId="0" applyNumberFormat="1" applyFont="1" applyFill="1" applyBorder="1" applyAlignment="1">
      <alignment horizontal="center" vertical="center"/>
    </xf>
    <xf numFmtId="9" fontId="7" fillId="9" borderId="26" xfId="0" applyNumberFormat="1" applyFont="1" applyFill="1" applyBorder="1" applyAlignment="1">
      <alignment horizontal="center" vertical="center"/>
    </xf>
    <xf numFmtId="9" fontId="7" fillId="9" borderId="80" xfId="0" applyNumberFormat="1" applyFont="1" applyFill="1" applyBorder="1" applyAlignment="1">
      <alignment horizontal="center" vertical="center"/>
    </xf>
    <xf numFmtId="9" fontId="7" fillId="9" borderId="37" xfId="0" applyNumberFormat="1" applyFont="1" applyFill="1" applyBorder="1" applyAlignment="1">
      <alignment horizontal="center" vertical="center"/>
    </xf>
    <xf numFmtId="0" fontId="0" fillId="9" borderId="2" xfId="0" applyFill="1" applyBorder="1" applyAlignment="1">
      <alignment horizontal="center" vertical="center"/>
    </xf>
    <xf numFmtId="164" fontId="7" fillId="0" borderId="32" xfId="0" applyNumberFormat="1" applyFont="1" applyBorder="1" applyAlignment="1">
      <alignment horizontal="right" vertical="center"/>
    </xf>
    <xf numFmtId="164" fontId="7" fillId="0" borderId="18" xfId="0" applyNumberFormat="1" applyFont="1" applyBorder="1" applyAlignment="1">
      <alignment horizontal="right" vertical="center"/>
    </xf>
    <xf numFmtId="164" fontId="7" fillId="0" borderId="19" xfId="0" applyNumberFormat="1" applyFont="1" applyBorder="1" applyAlignment="1">
      <alignment horizontal="right" vertical="center"/>
    </xf>
    <xf numFmtId="164" fontId="7" fillId="0" borderId="20" xfId="0" applyNumberFormat="1" applyFont="1" applyBorder="1" applyAlignment="1">
      <alignment horizontal="right" vertical="center"/>
    </xf>
    <xf numFmtId="0" fontId="16" fillId="2" borderId="81" xfId="0" applyFont="1" applyFill="1" applyBorder="1" applyAlignment="1">
      <alignment horizontal="center" textRotation="90" wrapText="1"/>
    </xf>
    <xf numFmtId="0" fontId="17" fillId="0" borderId="0" xfId="0" applyFont="1" applyAlignment="1">
      <alignment horizontal="center" vertical="center"/>
    </xf>
    <xf numFmtId="0" fontId="0" fillId="10" borderId="39" xfId="0" applyFill="1" applyBorder="1" applyAlignment="1">
      <alignment horizontal="center" vertical="center"/>
    </xf>
    <xf numFmtId="0" fontId="0" fillId="10" borderId="74" xfId="0" applyFill="1" applyBorder="1" applyAlignment="1">
      <alignment horizontal="center" vertical="center"/>
    </xf>
    <xf numFmtId="0" fontId="0" fillId="10" borderId="40" xfId="0" applyFill="1" applyBorder="1" applyAlignment="1">
      <alignment horizontal="center" vertical="center"/>
    </xf>
    <xf numFmtId="0" fontId="0" fillId="10" borderId="0" xfId="0" quotePrefix="1" applyFill="1" applyAlignment="1">
      <alignment horizontal="left" vertical="center"/>
    </xf>
    <xf numFmtId="0" fontId="0" fillId="10" borderId="0" xfId="0" applyFill="1" applyAlignment="1">
      <alignment horizontal="center" vertical="center"/>
    </xf>
    <xf numFmtId="0" fontId="0" fillId="10" borderId="100" xfId="0" applyFill="1" applyBorder="1" applyAlignment="1">
      <alignment horizontal="center" vertical="center"/>
    </xf>
    <xf numFmtId="0" fontId="0" fillId="10" borderId="96" xfId="0" applyFill="1" applyBorder="1" applyAlignment="1">
      <alignment horizontal="center" vertical="center"/>
    </xf>
    <xf numFmtId="0" fontId="0" fillId="10" borderId="0" xfId="0" applyFill="1" applyAlignment="1">
      <alignment horizontal="left" vertical="center"/>
    </xf>
    <xf numFmtId="0" fontId="0" fillId="10" borderId="97" xfId="0" applyFill="1" applyBorder="1" applyAlignment="1">
      <alignment horizontal="center" vertical="center"/>
    </xf>
    <xf numFmtId="0" fontId="0" fillId="10" borderId="98" xfId="0" applyFill="1" applyBorder="1" applyAlignment="1">
      <alignment horizontal="center" vertical="center"/>
    </xf>
    <xf numFmtId="0" fontId="0" fillId="10" borderId="99" xfId="0" applyFill="1" applyBorder="1" applyAlignment="1">
      <alignment horizontal="center" vertical="center"/>
    </xf>
    <xf numFmtId="164" fontId="18" fillId="2" borderId="2" xfId="0" applyNumberFormat="1" applyFont="1" applyFill="1" applyBorder="1" applyAlignment="1">
      <alignment vertical="center"/>
    </xf>
    <xf numFmtId="0" fontId="0" fillId="0" borderId="100" xfId="0" applyBorder="1" applyAlignment="1">
      <alignment horizontal="left" vertical="center"/>
    </xf>
    <xf numFmtId="164" fontId="18" fillId="0" borderId="26" xfId="0" applyNumberFormat="1" applyFont="1" applyBorder="1" applyAlignment="1">
      <alignment vertical="center"/>
    </xf>
    <xf numFmtId="164" fontId="18" fillId="0" borderId="80" xfId="0" applyNumberFormat="1" applyFont="1" applyBorder="1" applyAlignment="1">
      <alignment vertical="center"/>
    </xf>
    <xf numFmtId="164" fontId="18" fillId="0" borderId="27" xfId="0" applyNumberFormat="1" applyFont="1" applyBorder="1" applyAlignment="1">
      <alignment vertical="center"/>
    </xf>
    <xf numFmtId="164" fontId="7" fillId="6" borderId="44" xfId="0" applyNumberFormat="1" applyFont="1" applyFill="1" applyBorder="1" applyAlignment="1">
      <alignment horizontal="right" vertical="center"/>
    </xf>
    <xf numFmtId="164" fontId="7" fillId="6" borderId="13" xfId="0" applyNumberFormat="1" applyFont="1" applyFill="1" applyBorder="1" applyAlignment="1">
      <alignment horizontal="right" vertical="center"/>
    </xf>
    <xf numFmtId="164" fontId="7" fillId="6" borderId="15" xfId="0" applyNumberFormat="1" applyFont="1" applyFill="1" applyBorder="1" applyAlignment="1">
      <alignment horizontal="right" vertical="center"/>
    </xf>
    <xf numFmtId="164" fontId="7" fillId="6" borderId="14" xfId="0" applyNumberFormat="1" applyFont="1" applyFill="1" applyBorder="1" applyAlignment="1">
      <alignment horizontal="right" vertical="center"/>
    </xf>
    <xf numFmtId="164" fontId="7" fillId="6" borderId="45" xfId="0" applyNumberFormat="1" applyFont="1" applyFill="1" applyBorder="1" applyAlignment="1">
      <alignment horizontal="right" vertical="center"/>
    </xf>
    <xf numFmtId="164" fontId="7" fillId="6" borderId="17" xfId="0" applyNumberFormat="1" applyFont="1" applyFill="1" applyBorder="1" applyAlignment="1">
      <alignment horizontal="right" vertical="center"/>
    </xf>
    <xf numFmtId="164" fontId="7" fillId="6" borderId="101" xfId="0" applyNumberFormat="1" applyFont="1" applyFill="1" applyBorder="1" applyAlignment="1">
      <alignment horizontal="right" vertical="center"/>
    </xf>
    <xf numFmtId="164" fontId="7" fillId="6" borderId="88" xfId="0" applyNumberFormat="1" applyFont="1" applyFill="1" applyBorder="1" applyAlignment="1">
      <alignment horizontal="right" vertical="center"/>
    </xf>
    <xf numFmtId="164" fontId="10" fillId="0" borderId="37" xfId="0" applyNumberFormat="1" applyFont="1" applyBorder="1" applyAlignment="1">
      <alignment vertical="center"/>
    </xf>
    <xf numFmtId="164" fontId="18" fillId="2" borderId="26" xfId="0" applyNumberFormat="1" applyFont="1" applyFill="1" applyBorder="1" applyAlignment="1">
      <alignment horizontal="right" vertical="center"/>
    </xf>
    <xf numFmtId="0" fontId="20" fillId="2" borderId="16" xfId="0" applyFont="1" applyFill="1" applyBorder="1" applyAlignment="1">
      <alignment horizontal="right" textRotation="90" wrapText="1"/>
    </xf>
    <xf numFmtId="164" fontId="7" fillId="11" borderId="28" xfId="0" applyNumberFormat="1" applyFont="1" applyFill="1" applyBorder="1" applyAlignment="1">
      <alignment horizontal="right" vertical="center"/>
    </xf>
    <xf numFmtId="164" fontId="7" fillId="11" borderId="87" xfId="0" applyNumberFormat="1" applyFont="1" applyFill="1" applyBorder="1" applyAlignment="1">
      <alignment horizontal="right" vertical="center"/>
    </xf>
    <xf numFmtId="164" fontId="18" fillId="0" borderId="96" xfId="0" applyNumberFormat="1" applyFont="1" applyBorder="1" applyAlignment="1">
      <alignment vertical="center"/>
    </xf>
    <xf numFmtId="164" fontId="18" fillId="0" borderId="0" xfId="0" applyNumberFormat="1" applyFont="1" applyAlignment="1">
      <alignment vertical="center"/>
    </xf>
    <xf numFmtId="164" fontId="19" fillId="0" borderId="26" xfId="0" applyNumberFormat="1" applyFont="1" applyBorder="1" applyAlignment="1">
      <alignment vertical="center"/>
    </xf>
    <xf numFmtId="164" fontId="19" fillId="0" borderId="80" xfId="0" applyNumberFormat="1" applyFont="1" applyBorder="1" applyAlignment="1">
      <alignment vertical="center"/>
    </xf>
    <xf numFmtId="164" fontId="19" fillId="0" borderId="27" xfId="0" applyNumberFormat="1" applyFont="1" applyBorder="1" applyAlignment="1">
      <alignment vertical="center"/>
    </xf>
    <xf numFmtId="0" fontId="7" fillId="5" borderId="20" xfId="0" quotePrefix="1" applyFont="1" applyFill="1" applyBorder="1" applyAlignment="1">
      <alignment horizontal="left" vertical="center" wrapText="1"/>
    </xf>
    <xf numFmtId="164" fontId="7" fillId="11" borderId="3" xfId="0" applyNumberFormat="1" applyFont="1" applyFill="1" applyBorder="1" applyAlignment="1">
      <alignment vertical="center"/>
    </xf>
    <xf numFmtId="164" fontId="7" fillId="11" borderId="6" xfId="0" applyNumberFormat="1" applyFont="1" applyFill="1" applyBorder="1" applyAlignment="1">
      <alignment vertical="center"/>
    </xf>
    <xf numFmtId="0" fontId="7" fillId="6" borderId="6" xfId="0" applyFont="1" applyFill="1" applyBorder="1" applyAlignment="1">
      <alignment horizontal="left" vertical="center" wrapText="1"/>
    </xf>
    <xf numFmtId="0" fontId="11" fillId="2" borderId="73" xfId="0" applyFont="1" applyFill="1" applyBorder="1" applyAlignment="1">
      <alignment horizontal="center" vertical="center"/>
    </xf>
    <xf numFmtId="0" fontId="7" fillId="9" borderId="14" xfId="0" applyFont="1" applyFill="1" applyBorder="1" applyAlignment="1">
      <alignment horizontal="left" vertical="center" wrapText="1"/>
    </xf>
    <xf numFmtId="0" fontId="7" fillId="9" borderId="45" xfId="0" quotePrefix="1" applyFont="1" applyFill="1" applyBorder="1" applyAlignment="1">
      <alignment horizontal="left" vertical="center" wrapText="1"/>
    </xf>
    <xf numFmtId="0" fontId="7" fillId="9" borderId="15" xfId="0" quotePrefix="1" applyFont="1" applyFill="1" applyBorder="1" applyAlignment="1">
      <alignment horizontal="left" vertical="center" wrapText="1"/>
    </xf>
    <xf numFmtId="0" fontId="7" fillId="4" borderId="98" xfId="0" applyFont="1" applyFill="1" applyBorder="1" applyAlignment="1">
      <alignment horizontal="left" vertical="center"/>
    </xf>
    <xf numFmtId="0" fontId="7" fillId="4" borderId="71" xfId="0" quotePrefix="1" applyFont="1" applyFill="1" applyBorder="1" applyAlignment="1">
      <alignment horizontal="left" vertical="center" wrapText="1"/>
    </xf>
    <xf numFmtId="0" fontId="7" fillId="4" borderId="73" xfId="0" quotePrefix="1" applyFont="1" applyFill="1" applyBorder="1" applyAlignment="1">
      <alignment horizontal="left" vertical="center" wrapText="1"/>
    </xf>
    <xf numFmtId="0" fontId="7" fillId="4" borderId="102" xfId="0" applyFont="1" applyFill="1" applyBorder="1" applyAlignment="1">
      <alignment horizontal="left" vertical="center" wrapText="1"/>
    </xf>
    <xf numFmtId="0" fontId="7" fillId="4" borderId="72" xfId="0" applyFont="1" applyFill="1" applyBorder="1" applyAlignment="1">
      <alignment horizontal="left" vertical="center" wrapText="1"/>
    </xf>
    <xf numFmtId="0" fontId="7" fillId="4" borderId="71" xfId="0" applyFont="1" applyFill="1" applyBorder="1" applyAlignment="1">
      <alignment horizontal="left" vertical="center" wrapText="1"/>
    </xf>
    <xf numFmtId="0" fontId="7" fillId="4" borderId="98" xfId="0" applyFont="1" applyFill="1" applyBorder="1" applyAlignment="1">
      <alignment horizontal="left" vertical="center" wrapText="1"/>
    </xf>
    <xf numFmtId="0" fontId="7" fillId="4" borderId="71" xfId="0" applyFont="1" applyFill="1" applyBorder="1" applyAlignment="1">
      <alignment horizontal="left" vertical="center"/>
    </xf>
    <xf numFmtId="0" fontId="7" fillId="4" borderId="81" xfId="0" applyFont="1" applyFill="1" applyBorder="1" applyAlignment="1">
      <alignment horizontal="left" vertical="center" wrapText="1"/>
    </xf>
    <xf numFmtId="0" fontId="7" fillId="4" borderId="73" xfId="0" applyFont="1" applyFill="1" applyBorder="1" applyAlignment="1">
      <alignment horizontal="left" vertical="center"/>
    </xf>
    <xf numFmtId="0" fontId="7" fillId="4" borderId="74" xfId="0" applyFont="1" applyFill="1" applyBorder="1" applyAlignment="1">
      <alignment horizontal="left" vertical="center"/>
    </xf>
    <xf numFmtId="0" fontId="7" fillId="9" borderId="17" xfId="0" quotePrefix="1" applyFont="1" applyFill="1" applyBorder="1" applyAlignment="1">
      <alignment horizontal="left" vertical="center" wrapText="1"/>
    </xf>
    <xf numFmtId="0" fontId="7" fillId="9" borderId="13" xfId="0" quotePrefix="1" applyFont="1" applyFill="1" applyBorder="1" applyAlignment="1">
      <alignment horizontal="left" vertical="center" wrapText="1"/>
    </xf>
    <xf numFmtId="0" fontId="7" fillId="9" borderId="95" xfId="0" quotePrefix="1" applyFont="1" applyFill="1" applyBorder="1" applyAlignment="1">
      <alignment horizontal="left" vertical="center"/>
    </xf>
    <xf numFmtId="0" fontId="7" fillId="9" borderId="5" xfId="0" quotePrefix="1" applyFont="1" applyFill="1" applyBorder="1" applyAlignment="1">
      <alignment horizontal="left" vertical="center" wrapText="1"/>
    </xf>
    <xf numFmtId="0" fontId="7" fillId="9" borderId="8" xfId="0" quotePrefix="1" applyFont="1" applyFill="1" applyBorder="1" applyAlignment="1">
      <alignment horizontal="left" vertical="center" wrapText="1"/>
    </xf>
    <xf numFmtId="0" fontId="7" fillId="4" borderId="94" xfId="0" applyFont="1" applyFill="1" applyBorder="1" applyAlignment="1">
      <alignment horizontal="left" vertical="center" wrapText="1"/>
    </xf>
    <xf numFmtId="0" fontId="25" fillId="2" borderId="8" xfId="0" applyFont="1" applyFill="1" applyBorder="1" applyAlignment="1">
      <alignment horizontal="center" vertical="center" wrapText="1"/>
    </xf>
    <xf numFmtId="0" fontId="7" fillId="9" borderId="27" xfId="0" quotePrefix="1" applyFont="1" applyFill="1" applyBorder="1" applyAlignment="1">
      <alignment horizontal="left" vertical="center" wrapText="1"/>
    </xf>
    <xf numFmtId="0" fontId="7" fillId="9" borderId="44" xfId="0" quotePrefix="1" applyFont="1" applyFill="1" applyBorder="1" applyAlignment="1">
      <alignment horizontal="left" vertical="center" wrapText="1"/>
    </xf>
    <xf numFmtId="0" fontId="7" fillId="9" borderId="5" xfId="0" quotePrefix="1" applyFont="1" applyFill="1" applyBorder="1" applyAlignment="1">
      <alignment horizontal="left" vertical="center"/>
    </xf>
    <xf numFmtId="0" fontId="7" fillId="4" borderId="7" xfId="0" quotePrefix="1" applyFont="1" applyFill="1" applyBorder="1" applyAlignment="1">
      <alignment horizontal="left" vertical="center" wrapText="1"/>
    </xf>
    <xf numFmtId="0" fontId="7" fillId="9" borderId="34" xfId="0" quotePrefix="1" applyFont="1" applyFill="1" applyBorder="1" applyAlignment="1">
      <alignment horizontal="left" vertical="center"/>
    </xf>
    <xf numFmtId="0" fontId="7" fillId="4" borderId="81" xfId="0" quotePrefix="1" applyFont="1" applyFill="1" applyBorder="1" applyAlignment="1">
      <alignment horizontal="left" vertical="center"/>
    </xf>
    <xf numFmtId="0" fontId="7" fillId="9" borderId="86" xfId="0" quotePrefix="1" applyFont="1" applyFill="1" applyBorder="1" applyAlignment="1">
      <alignment horizontal="left" vertical="center" wrapText="1"/>
    </xf>
    <xf numFmtId="0" fontId="7" fillId="9" borderId="78" xfId="0" quotePrefix="1" applyFont="1" applyFill="1" applyBorder="1" applyAlignment="1">
      <alignment horizontal="left" vertical="center" wrapText="1"/>
    </xf>
    <xf numFmtId="0" fontId="7" fillId="0" borderId="30" xfId="0" quotePrefix="1" applyFont="1" applyBorder="1" applyAlignment="1">
      <alignment horizontal="left" vertical="center" wrapText="1"/>
    </xf>
    <xf numFmtId="164" fontId="7" fillId="12" borderId="32" xfId="0" applyNumberFormat="1" applyFont="1" applyFill="1" applyBorder="1" applyAlignment="1">
      <alignment horizontal="right" vertical="center"/>
    </xf>
    <xf numFmtId="164" fontId="7" fillId="12" borderId="18" xfId="0" applyNumberFormat="1" applyFont="1" applyFill="1" applyBorder="1" applyAlignment="1">
      <alignment horizontal="right" vertical="center"/>
    </xf>
    <xf numFmtId="164" fontId="7" fillId="12" borderId="19" xfId="0" applyNumberFormat="1" applyFont="1" applyFill="1" applyBorder="1" applyAlignment="1">
      <alignment horizontal="right" vertical="center"/>
    </xf>
    <xf numFmtId="164" fontId="7" fillId="12" borderId="20" xfId="0" applyNumberFormat="1" applyFont="1" applyFill="1" applyBorder="1" applyAlignment="1">
      <alignment horizontal="right" vertical="center"/>
    </xf>
    <xf numFmtId="164" fontId="7" fillId="12" borderId="21" xfId="0" applyNumberFormat="1" applyFont="1" applyFill="1" applyBorder="1" applyAlignment="1">
      <alignment horizontal="right" vertical="center"/>
    </xf>
    <xf numFmtId="164" fontId="7" fillId="12" borderId="22" xfId="0" applyNumberFormat="1" applyFont="1" applyFill="1" applyBorder="1" applyAlignment="1">
      <alignment horizontal="right" vertical="center"/>
    </xf>
    <xf numFmtId="164" fontId="7" fillId="12" borderId="23" xfId="0" applyNumberFormat="1" applyFont="1" applyFill="1" applyBorder="1" applyAlignment="1">
      <alignment horizontal="right" vertical="center"/>
    </xf>
    <xf numFmtId="164" fontId="7" fillId="12" borderId="39" xfId="0" applyNumberFormat="1" applyFont="1" applyFill="1" applyBorder="1" applyAlignment="1">
      <alignment horizontal="right" vertical="center"/>
    </xf>
    <xf numFmtId="0" fontId="0" fillId="12" borderId="2" xfId="0" applyFill="1" applyBorder="1" applyAlignment="1">
      <alignment horizontal="center" vertical="center"/>
    </xf>
    <xf numFmtId="0" fontId="7" fillId="4" borderId="102" xfId="0" quotePrefix="1" applyFont="1" applyFill="1" applyBorder="1" applyAlignment="1">
      <alignment horizontal="left" vertical="center" wrapText="1"/>
    </xf>
    <xf numFmtId="0" fontId="7" fillId="4" borderId="98" xfId="0" quotePrefix="1" applyFont="1" applyFill="1" applyBorder="1" applyAlignment="1">
      <alignment horizontal="left" vertical="center" wrapText="1"/>
    </xf>
    <xf numFmtId="164" fontId="7" fillId="6" borderId="8" xfId="0" applyNumberFormat="1" applyFont="1" applyFill="1" applyBorder="1" applyAlignment="1">
      <alignment horizontal="right" vertical="center"/>
    </xf>
    <xf numFmtId="164" fontId="19" fillId="13" borderId="80" xfId="0" applyNumberFormat="1" applyFont="1" applyFill="1" applyBorder="1" applyAlignment="1">
      <alignment vertical="center"/>
    </xf>
    <xf numFmtId="164" fontId="19" fillId="13" borderId="26" xfId="0" applyNumberFormat="1" applyFont="1" applyFill="1" applyBorder="1" applyAlignment="1">
      <alignment vertical="center"/>
    </xf>
    <xf numFmtId="164" fontId="18" fillId="13" borderId="80" xfId="0" applyNumberFormat="1" applyFont="1" applyFill="1" applyBorder="1" applyAlignment="1">
      <alignment vertical="center"/>
    </xf>
    <xf numFmtId="164" fontId="18" fillId="13" borderId="26" xfId="0" applyNumberFormat="1" applyFont="1" applyFill="1" applyBorder="1" applyAlignment="1">
      <alignment vertical="center"/>
    </xf>
    <xf numFmtId="164" fontId="9" fillId="0" borderId="97" xfId="0" applyNumberFormat="1" applyFont="1" applyBorder="1" applyAlignment="1">
      <alignment horizontal="center" vertical="center"/>
    </xf>
    <xf numFmtId="3" fontId="7" fillId="0" borderId="2" xfId="0" applyNumberFormat="1" applyFont="1" applyBorder="1" applyAlignment="1">
      <alignment horizontal="center" vertical="center"/>
    </xf>
    <xf numFmtId="3" fontId="7" fillId="0" borderId="18" xfId="0" applyNumberFormat="1" applyFont="1" applyBorder="1" applyAlignment="1">
      <alignment horizontal="center" vertical="center"/>
    </xf>
    <xf numFmtId="3" fontId="7" fillId="0" borderId="19" xfId="0" applyNumberFormat="1" applyFont="1" applyBorder="1" applyAlignment="1">
      <alignment horizontal="center" vertical="center"/>
    </xf>
    <xf numFmtId="3" fontId="7" fillId="0" borderId="20" xfId="0" applyNumberFormat="1" applyFont="1" applyBorder="1" applyAlignment="1">
      <alignment horizontal="center" vertical="center"/>
    </xf>
    <xf numFmtId="0" fontId="7" fillId="4" borderId="4" xfId="0" quotePrefix="1" applyFont="1" applyFill="1" applyBorder="1" applyAlignment="1">
      <alignment horizontal="left" vertical="center" wrapText="1"/>
    </xf>
    <xf numFmtId="0" fontId="7" fillId="4" borderId="1" xfId="0" quotePrefix="1" applyFont="1" applyFill="1" applyBorder="1" applyAlignment="1">
      <alignment horizontal="left" vertical="center" wrapText="1"/>
    </xf>
    <xf numFmtId="0" fontId="7" fillId="9" borderId="12" xfId="0" quotePrefix="1" applyFont="1" applyFill="1" applyBorder="1" applyAlignment="1">
      <alignment horizontal="left" vertical="center" wrapText="1"/>
    </xf>
    <xf numFmtId="0" fontId="7" fillId="9" borderId="8" xfId="0" quotePrefix="1" applyFont="1" applyFill="1" applyBorder="1" applyAlignment="1">
      <alignment horizontal="left" vertical="center"/>
    </xf>
    <xf numFmtId="0" fontId="7" fillId="12" borderId="38" xfId="0" applyFont="1" applyFill="1" applyBorder="1" applyAlignment="1">
      <alignment horizontal="center" vertical="center"/>
    </xf>
    <xf numFmtId="0" fontId="7" fillId="12" borderId="34" xfId="0" applyFont="1" applyFill="1" applyBorder="1" applyAlignment="1">
      <alignment horizontal="center" vertical="center"/>
    </xf>
    <xf numFmtId="9" fontId="7" fillId="12" borderId="38" xfId="0" applyNumberFormat="1" applyFont="1" applyFill="1" applyBorder="1" applyAlignment="1">
      <alignment horizontal="center" vertical="center"/>
    </xf>
    <xf numFmtId="9" fontId="7" fillId="12" borderId="35" xfId="0" applyNumberFormat="1" applyFont="1" applyFill="1" applyBorder="1" applyAlignment="1">
      <alignment horizontal="center" vertical="center"/>
    </xf>
    <xf numFmtId="9" fontId="7" fillId="12" borderId="34" xfId="0" applyNumberFormat="1" applyFont="1" applyFill="1" applyBorder="1" applyAlignment="1">
      <alignment horizontal="center" vertical="center"/>
    </xf>
    <xf numFmtId="9" fontId="7" fillId="12" borderId="26" xfId="0" applyNumberFormat="1" applyFont="1" applyFill="1" applyBorder="1" applyAlignment="1">
      <alignment horizontal="center" vertical="center"/>
    </xf>
    <xf numFmtId="9" fontId="7" fillId="12" borderId="80" xfId="0" applyNumberFormat="1" applyFont="1" applyFill="1" applyBorder="1" applyAlignment="1">
      <alignment horizontal="center" vertical="center"/>
    </xf>
    <xf numFmtId="9" fontId="7" fillId="12" borderId="37" xfId="0" applyNumberFormat="1" applyFont="1" applyFill="1" applyBorder="1" applyAlignment="1">
      <alignment horizontal="center" vertical="center"/>
    </xf>
    <xf numFmtId="0" fontId="0" fillId="14" borderId="2" xfId="0" applyFill="1" applyBorder="1" applyAlignment="1">
      <alignment horizontal="center" vertical="center"/>
    </xf>
    <xf numFmtId="0" fontId="14" fillId="10" borderId="0" xfId="0" quotePrefix="1" applyFont="1" applyFill="1" applyAlignment="1">
      <alignment horizontal="left" vertical="center"/>
    </xf>
    <xf numFmtId="0" fontId="27" fillId="10" borderId="0" xfId="0" applyFont="1" applyFill="1" applyAlignment="1">
      <alignment horizontal="left" vertical="center"/>
    </xf>
    <xf numFmtId="0" fontId="27" fillId="10" borderId="0" xfId="0" applyFont="1" applyFill="1" applyAlignment="1">
      <alignment horizontal="center" vertical="center"/>
    </xf>
    <xf numFmtId="0" fontId="27" fillId="10" borderId="0" xfId="0" quotePrefix="1" applyFont="1" applyFill="1" applyAlignment="1">
      <alignment horizontal="left" vertical="center"/>
    </xf>
    <xf numFmtId="0" fontId="7" fillId="12" borderId="3" xfId="0" applyFont="1" applyFill="1" applyBorder="1" applyAlignment="1">
      <alignment horizontal="center" vertical="center"/>
    </xf>
    <xf numFmtId="0" fontId="7" fillId="12" borderId="13" xfId="0" applyFont="1" applyFill="1" applyBorder="1" applyAlignment="1">
      <alignment horizontal="center" vertical="center"/>
    </xf>
    <xf numFmtId="9" fontId="7" fillId="12" borderId="3" xfId="0" applyNumberFormat="1" applyFont="1" applyFill="1" applyBorder="1" applyAlignment="1">
      <alignment horizontal="center" vertical="center"/>
    </xf>
    <xf numFmtId="9" fontId="7" fillId="12" borderId="4" xfId="0" applyNumberFormat="1" applyFont="1" applyFill="1" applyBorder="1" applyAlignment="1">
      <alignment horizontal="center" vertical="center"/>
    </xf>
    <xf numFmtId="9" fontId="7" fillId="12" borderId="13" xfId="0" applyNumberFormat="1" applyFont="1" applyFill="1" applyBorder="1" applyAlignment="1">
      <alignment horizontal="center" vertical="center"/>
    </xf>
    <xf numFmtId="0" fontId="7" fillId="12" borderId="6" xfId="0" applyFont="1" applyFill="1" applyBorder="1" applyAlignment="1">
      <alignment horizontal="center" vertical="center"/>
    </xf>
    <xf numFmtId="0" fontId="7" fillId="12" borderId="14" xfId="0" applyFont="1" applyFill="1" applyBorder="1" applyAlignment="1">
      <alignment horizontal="center" vertical="center"/>
    </xf>
    <xf numFmtId="9" fontId="7" fillId="12" borderId="6" xfId="0" applyNumberFormat="1" applyFont="1" applyFill="1" applyBorder="1" applyAlignment="1">
      <alignment horizontal="center" vertical="center"/>
    </xf>
    <xf numFmtId="9" fontId="7" fillId="12" borderId="7" xfId="0" applyNumberFormat="1" applyFont="1" applyFill="1" applyBorder="1" applyAlignment="1">
      <alignment horizontal="center" vertical="center"/>
    </xf>
    <xf numFmtId="9" fontId="7" fillId="12" borderId="14" xfId="0" applyNumberFormat="1" applyFont="1" applyFill="1" applyBorder="1" applyAlignment="1">
      <alignment horizontal="center" vertical="center"/>
    </xf>
    <xf numFmtId="0" fontId="21" fillId="0" borderId="0" xfId="0" applyFont="1" applyAlignment="1">
      <alignment vertical="center" wrapText="1"/>
    </xf>
    <xf numFmtId="164" fontId="20" fillId="0" borderId="0" xfId="0" applyNumberFormat="1" applyFont="1" applyAlignment="1">
      <alignment vertical="center"/>
    </xf>
    <xf numFmtId="0" fontId="11" fillId="2" borderId="31" xfId="0" applyFont="1" applyFill="1" applyBorder="1" applyAlignment="1">
      <alignment horizontal="center" textRotation="90" wrapText="1"/>
    </xf>
    <xf numFmtId="0" fontId="7" fillId="6" borderId="28" xfId="0" applyFont="1" applyFill="1" applyBorder="1" applyAlignment="1">
      <alignment horizontal="left" vertical="center" wrapText="1"/>
    </xf>
    <xf numFmtId="164" fontId="7" fillId="14" borderId="28" xfId="0" applyNumberFormat="1" applyFont="1" applyFill="1" applyBorder="1" applyAlignment="1">
      <alignment horizontal="right" vertical="center"/>
    </xf>
    <xf numFmtId="164" fontId="7" fillId="14" borderId="3" xfId="0" applyNumberFormat="1" applyFont="1" applyFill="1" applyBorder="1" applyAlignment="1">
      <alignment horizontal="right" vertical="center"/>
    </xf>
    <xf numFmtId="164" fontId="7" fillId="14" borderId="11" xfId="0" applyNumberFormat="1" applyFont="1" applyFill="1" applyBorder="1" applyAlignment="1">
      <alignment horizontal="right" vertical="center"/>
    </xf>
    <xf numFmtId="164" fontId="7" fillId="14" borderId="6" xfId="0" applyNumberFormat="1" applyFont="1" applyFill="1" applyBorder="1" applyAlignment="1">
      <alignment horizontal="right" vertical="center"/>
    </xf>
    <xf numFmtId="164" fontId="10" fillId="0" borderId="0" xfId="0" applyNumberFormat="1" applyFont="1" applyAlignment="1">
      <alignment vertical="center"/>
    </xf>
    <xf numFmtId="164" fontId="0" fillId="0" borderId="0" xfId="0" applyNumberFormat="1" applyAlignment="1">
      <alignment horizontal="center" vertical="center"/>
    </xf>
    <xf numFmtId="164" fontId="7" fillId="14" borderId="103" xfId="0" applyNumberFormat="1" applyFont="1" applyFill="1" applyBorder="1" applyAlignment="1">
      <alignment horizontal="right" vertical="center"/>
    </xf>
    <xf numFmtId="0" fontId="31" fillId="2" borderId="107" xfId="0" applyFont="1" applyFill="1" applyBorder="1" applyAlignment="1">
      <alignment horizontal="right" textRotation="90" wrapText="1"/>
    </xf>
    <xf numFmtId="164" fontId="7" fillId="14" borderId="104" xfId="0" applyNumberFormat="1" applyFont="1" applyFill="1" applyBorder="1" applyAlignment="1">
      <alignment horizontal="right" vertical="center"/>
    </xf>
    <xf numFmtId="164" fontId="7" fillId="14" borderId="106" xfId="0" applyNumberFormat="1" applyFont="1" applyFill="1" applyBorder="1" applyAlignment="1">
      <alignment horizontal="right" vertical="center"/>
    </xf>
    <xf numFmtId="164" fontId="10" fillId="14" borderId="105" xfId="0" applyNumberFormat="1" applyFont="1" applyFill="1" applyBorder="1" applyAlignment="1">
      <alignment horizontal="right" vertical="center"/>
    </xf>
    <xf numFmtId="0" fontId="0" fillId="0" borderId="0" xfId="0" applyAlignment="1">
      <alignment horizontal="right" vertical="center"/>
    </xf>
    <xf numFmtId="164" fontId="14" fillId="14" borderId="103" xfId="0" applyNumberFormat="1" applyFont="1" applyFill="1" applyBorder="1" applyAlignment="1">
      <alignment horizontal="right" vertical="center"/>
    </xf>
    <xf numFmtId="164" fontId="14" fillId="14" borderId="9" xfId="0" applyNumberFormat="1" applyFont="1" applyFill="1" applyBorder="1" applyAlignment="1">
      <alignment horizontal="right" vertical="center"/>
    </xf>
    <xf numFmtId="164" fontId="14" fillId="14" borderId="33" xfId="0" applyNumberFormat="1" applyFont="1" applyFill="1" applyBorder="1" applyAlignment="1">
      <alignment horizontal="right" vertical="center"/>
    </xf>
    <xf numFmtId="164" fontId="14" fillId="14" borderId="10" xfId="0" applyNumberFormat="1" applyFont="1" applyFill="1" applyBorder="1" applyAlignment="1">
      <alignment horizontal="right" vertical="center"/>
    </xf>
    <xf numFmtId="164" fontId="14" fillId="14" borderId="104" xfId="0" applyNumberFormat="1" applyFont="1" applyFill="1" applyBorder="1" applyAlignment="1">
      <alignment horizontal="right" vertical="center"/>
    </xf>
    <xf numFmtId="164" fontId="14" fillId="14" borderId="106" xfId="0" applyNumberFormat="1" applyFont="1" applyFill="1" applyBorder="1" applyAlignment="1">
      <alignment horizontal="right" vertical="center"/>
    </xf>
    <xf numFmtId="0" fontId="27" fillId="0" borderId="0" xfId="0" applyFont="1" applyAlignment="1">
      <alignment horizontal="right" vertical="center"/>
    </xf>
    <xf numFmtId="0" fontId="32" fillId="2" borderId="16" xfId="0" applyFont="1" applyFill="1" applyBorder="1" applyAlignment="1">
      <alignment horizontal="right" textRotation="90" wrapText="1"/>
    </xf>
    <xf numFmtId="0" fontId="32" fillId="2" borderId="16" xfId="0" applyFont="1" applyFill="1" applyBorder="1" applyAlignment="1">
      <alignment horizontal="center" textRotation="90" wrapText="1"/>
    </xf>
    <xf numFmtId="164" fontId="9" fillId="14" borderId="26" xfId="0" applyNumberFormat="1" applyFont="1" applyFill="1" applyBorder="1" applyAlignment="1">
      <alignment vertical="center"/>
    </xf>
    <xf numFmtId="164" fontId="9" fillId="0" borderId="0" xfId="0" applyNumberFormat="1" applyFont="1" applyAlignment="1">
      <alignment vertical="center"/>
    </xf>
    <xf numFmtId="0" fontId="31" fillId="2" borderId="107" xfId="0" applyFont="1" applyFill="1" applyBorder="1" applyAlignment="1">
      <alignment horizontal="center" wrapText="1"/>
    </xf>
    <xf numFmtId="164" fontId="14" fillId="14" borderId="98" xfId="0" applyNumberFormat="1" applyFont="1" applyFill="1" applyBorder="1" applyAlignment="1">
      <alignment horizontal="right" vertical="center"/>
    </xf>
    <xf numFmtId="164" fontId="14" fillId="14" borderId="0" xfId="0" applyNumberFormat="1" applyFont="1" applyFill="1" applyAlignment="1">
      <alignment horizontal="right" vertical="center"/>
    </xf>
    <xf numFmtId="164" fontId="14" fillId="14" borderId="74" xfId="0" applyNumberFormat="1" applyFont="1" applyFill="1" applyBorder="1" applyAlignment="1">
      <alignment horizontal="right" vertical="center"/>
    </xf>
    <xf numFmtId="164" fontId="7" fillId="14" borderId="87" xfId="0" applyNumberFormat="1" applyFont="1" applyFill="1" applyBorder="1" applyAlignment="1">
      <alignment horizontal="right" vertical="center"/>
    </xf>
    <xf numFmtId="164" fontId="7" fillId="14" borderId="0" xfId="0" applyNumberFormat="1" applyFont="1" applyFill="1" applyAlignment="1">
      <alignment horizontal="right" vertical="center"/>
    </xf>
    <xf numFmtId="164" fontId="9" fillId="14" borderId="24" xfId="0" applyNumberFormat="1" applyFont="1" applyFill="1" applyBorder="1" applyAlignment="1">
      <alignment vertical="center"/>
    </xf>
    <xf numFmtId="164" fontId="7" fillId="14" borderId="105" xfId="0" applyNumberFormat="1" applyFont="1" applyFill="1" applyBorder="1" applyAlignment="1">
      <alignment horizontal="right" vertical="center"/>
    </xf>
    <xf numFmtId="164" fontId="10" fillId="14" borderId="42" xfId="0" applyNumberFormat="1" applyFont="1" applyFill="1" applyBorder="1" applyAlignment="1">
      <alignment horizontal="center" vertical="center"/>
    </xf>
    <xf numFmtId="164" fontId="10" fillId="0" borderId="96" xfId="0" applyNumberFormat="1" applyFont="1" applyBorder="1" applyAlignment="1">
      <alignment vertical="center"/>
    </xf>
    <xf numFmtId="164" fontId="7" fillId="14" borderId="28" xfId="0" applyNumberFormat="1" applyFont="1" applyFill="1" applyBorder="1" applyAlignment="1">
      <alignment vertical="center"/>
    </xf>
    <xf numFmtId="164" fontId="7" fillId="14" borderId="87" xfId="0" applyNumberFormat="1" applyFont="1" applyFill="1" applyBorder="1" applyAlignment="1">
      <alignment vertical="center"/>
    </xf>
    <xf numFmtId="164" fontId="7" fillId="14" borderId="38" xfId="0" applyNumberFormat="1" applyFont="1" applyFill="1" applyBorder="1" applyAlignment="1">
      <alignment vertical="center"/>
    </xf>
    <xf numFmtId="0" fontId="14" fillId="0" borderId="0" xfId="0" applyFont="1" applyAlignment="1">
      <alignment horizontal="center" vertical="center"/>
    </xf>
    <xf numFmtId="0" fontId="7" fillId="0" borderId="0" xfId="0" applyFont="1" applyAlignment="1">
      <alignment horizontal="right" vertical="center"/>
    </xf>
    <xf numFmtId="4" fontId="7" fillId="0" borderId="0" xfId="0" applyNumberFormat="1" applyFont="1" applyAlignment="1">
      <alignment horizontal="right" vertical="center"/>
    </xf>
    <xf numFmtId="164" fontId="20" fillId="0" borderId="108" xfId="0" applyNumberFormat="1" applyFont="1" applyBorder="1" applyAlignment="1">
      <alignment vertical="center"/>
    </xf>
    <xf numFmtId="4" fontId="0" fillId="0" borderId="0" xfId="0" applyNumberFormat="1" applyAlignment="1">
      <alignment horizontal="right" vertical="center"/>
    </xf>
    <xf numFmtId="167" fontId="7" fillId="14" borderId="28" xfId="0" applyNumberFormat="1" applyFont="1" applyFill="1" applyBorder="1" applyAlignment="1">
      <alignment horizontal="right" vertical="center"/>
    </xf>
    <xf numFmtId="167" fontId="14" fillId="14" borderId="103" xfId="0" applyNumberFormat="1" applyFont="1" applyFill="1" applyBorder="1" applyAlignment="1">
      <alignment horizontal="right" vertical="center"/>
    </xf>
    <xf numFmtId="167" fontId="7" fillId="14" borderId="3" xfId="0" applyNumberFormat="1" applyFont="1" applyFill="1" applyBorder="1" applyAlignment="1">
      <alignment horizontal="right" vertical="center"/>
    </xf>
    <xf numFmtId="167" fontId="14" fillId="14" borderId="9" xfId="0" applyNumberFormat="1" applyFont="1" applyFill="1" applyBorder="1" applyAlignment="1">
      <alignment horizontal="right" vertical="center"/>
    </xf>
    <xf numFmtId="167" fontId="7" fillId="14" borderId="11" xfId="0" applyNumberFormat="1" applyFont="1" applyFill="1" applyBorder="1" applyAlignment="1">
      <alignment horizontal="right" vertical="center"/>
    </xf>
    <xf numFmtId="167" fontId="14" fillId="14" borderId="33" xfId="0" applyNumberFormat="1" applyFont="1" applyFill="1" applyBorder="1" applyAlignment="1">
      <alignment horizontal="right" vertical="center"/>
    </xf>
    <xf numFmtId="167" fontId="7" fillId="14" borderId="6" xfId="0" applyNumberFormat="1" applyFont="1" applyFill="1" applyBorder="1" applyAlignment="1">
      <alignment horizontal="right" vertical="center"/>
    </xf>
    <xf numFmtId="167" fontId="14" fillId="14" borderId="10" xfId="0" applyNumberFormat="1" applyFont="1" applyFill="1" applyBorder="1" applyAlignment="1">
      <alignment horizontal="right" vertical="center"/>
    </xf>
    <xf numFmtId="167" fontId="14" fillId="14" borderId="104" xfId="0" applyNumberFormat="1" applyFont="1" applyFill="1" applyBorder="1" applyAlignment="1">
      <alignment horizontal="right" vertical="center"/>
    </xf>
    <xf numFmtId="167" fontId="14" fillId="14" borderId="106" xfId="0" applyNumberFormat="1" applyFont="1" applyFill="1" applyBorder="1" applyAlignment="1">
      <alignment horizontal="right" vertical="center"/>
    </xf>
    <xf numFmtId="167" fontId="9" fillId="14" borderId="26" xfId="0" applyNumberFormat="1" applyFont="1" applyFill="1" applyBorder="1" applyAlignment="1">
      <alignment horizontal="right" vertical="center"/>
    </xf>
    <xf numFmtId="167" fontId="10" fillId="14" borderId="105" xfId="0" applyNumberFormat="1" applyFont="1" applyFill="1" applyBorder="1" applyAlignment="1">
      <alignment horizontal="right" vertical="center"/>
    </xf>
    <xf numFmtId="164" fontId="18" fillId="13" borderId="27" xfId="0" applyNumberFormat="1" applyFont="1" applyFill="1" applyBorder="1" applyAlignment="1">
      <alignment vertical="center"/>
    </xf>
    <xf numFmtId="164" fontId="19" fillId="13" borderId="27" xfId="0" applyNumberFormat="1" applyFont="1" applyFill="1" applyBorder="1" applyAlignment="1">
      <alignment vertical="center"/>
    </xf>
    <xf numFmtId="0" fontId="7" fillId="4" borderId="80" xfId="0" applyFont="1" applyFill="1" applyBorder="1" applyAlignment="1">
      <alignment horizontal="left" vertical="center"/>
    </xf>
    <xf numFmtId="0" fontId="7" fillId="9" borderId="27" xfId="0" quotePrefix="1" applyFont="1" applyFill="1" applyBorder="1" applyAlignment="1">
      <alignment horizontal="left" vertical="center"/>
    </xf>
    <xf numFmtId="0" fontId="7" fillId="0" borderId="36" xfId="0" applyFont="1" applyBorder="1" applyAlignment="1">
      <alignment horizontal="left" vertical="center" wrapText="1"/>
    </xf>
    <xf numFmtId="4" fontId="7" fillId="12" borderId="2" xfId="0" applyNumberFormat="1" applyFont="1" applyFill="1" applyBorder="1" applyAlignment="1">
      <alignment horizontal="center" vertical="center"/>
    </xf>
    <xf numFmtId="4" fontId="7" fillId="12" borderId="18" xfId="0" applyNumberFormat="1" applyFont="1" applyFill="1" applyBorder="1" applyAlignment="1">
      <alignment horizontal="center" vertical="center"/>
    </xf>
    <xf numFmtId="4" fontId="7" fillId="12" borderId="19" xfId="0" applyNumberFormat="1" applyFont="1" applyFill="1" applyBorder="1" applyAlignment="1">
      <alignment horizontal="center" vertical="center"/>
    </xf>
    <xf numFmtId="4" fontId="7" fillId="12" borderId="20" xfId="0" applyNumberFormat="1" applyFont="1" applyFill="1" applyBorder="1" applyAlignment="1">
      <alignment horizontal="center" vertical="center"/>
    </xf>
    <xf numFmtId="4" fontId="0" fillId="0" borderId="0" xfId="0" applyNumberFormat="1" applyAlignment="1">
      <alignment horizontal="center" vertical="center"/>
    </xf>
    <xf numFmtId="0" fontId="9" fillId="0" borderId="97" xfId="0" applyFont="1" applyBorder="1" applyAlignment="1">
      <alignment horizontal="center" vertical="center"/>
    </xf>
    <xf numFmtId="164" fontId="15" fillId="12" borderId="23" xfId="0" applyNumberFormat="1" applyFont="1" applyFill="1" applyBorder="1" applyAlignment="1">
      <alignment horizontal="right" vertical="center"/>
    </xf>
    <xf numFmtId="9" fontId="15" fillId="9" borderId="6" xfId="0" applyNumberFormat="1" applyFont="1" applyFill="1" applyBorder="1" applyAlignment="1">
      <alignment horizontal="center" vertical="center"/>
    </xf>
    <xf numFmtId="9" fontId="15" fillId="9" borderId="7" xfId="0" applyNumberFormat="1" applyFont="1" applyFill="1" applyBorder="1" applyAlignment="1">
      <alignment horizontal="center" vertical="center"/>
    </xf>
    <xf numFmtId="9" fontId="15" fillId="9" borderId="14" xfId="0" applyNumberFormat="1" applyFont="1" applyFill="1" applyBorder="1" applyAlignment="1">
      <alignment horizontal="center" vertical="center"/>
    </xf>
    <xf numFmtId="9" fontId="15" fillId="9" borderId="3" xfId="0" applyNumberFormat="1" applyFont="1" applyFill="1" applyBorder="1" applyAlignment="1">
      <alignment horizontal="center" vertical="center"/>
    </xf>
    <xf numFmtId="0" fontId="31" fillId="2" borderId="109" xfId="0" applyFont="1" applyFill="1" applyBorder="1" applyAlignment="1">
      <alignment horizontal="center" vertical="center" wrapText="1"/>
    </xf>
    <xf numFmtId="0" fontId="31" fillId="2" borderId="16" xfId="0" applyFont="1" applyFill="1" applyBorder="1" applyAlignment="1">
      <alignment horizontal="center" vertical="center" wrapText="1"/>
    </xf>
    <xf numFmtId="4" fontId="7" fillId="0" borderId="90" xfId="0" applyNumberFormat="1" applyFont="1" applyBorder="1" applyAlignment="1">
      <alignment horizontal="center" vertical="center"/>
    </xf>
    <xf numFmtId="4" fontId="7" fillId="0" borderId="110" xfId="0" applyNumberFormat="1" applyFont="1" applyBorder="1" applyAlignment="1">
      <alignment horizontal="center" vertical="center"/>
    </xf>
    <xf numFmtId="4" fontId="7" fillId="0" borderId="111" xfId="0" applyNumberFormat="1" applyFont="1" applyBorder="1" applyAlignment="1">
      <alignment horizontal="center" vertical="center"/>
    </xf>
    <xf numFmtId="0" fontId="7" fillId="0" borderId="26" xfId="0" applyFont="1" applyBorder="1" applyAlignment="1">
      <alignment horizontal="left" vertical="center" wrapText="1"/>
    </xf>
    <xf numFmtId="0" fontId="7" fillId="0" borderId="27" xfId="0" applyFont="1" applyBorder="1" applyAlignment="1">
      <alignment horizontal="left"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164" fontId="20" fillId="0" borderId="0" xfId="0" applyNumberFormat="1" applyFont="1" applyAlignment="1">
      <alignment horizontal="center" vertical="center"/>
    </xf>
    <xf numFmtId="168" fontId="7" fillId="12" borderId="32" xfId="0" applyNumberFormat="1" applyFont="1" applyFill="1" applyBorder="1" applyAlignment="1">
      <alignment horizontal="right" vertical="center"/>
    </xf>
    <xf numFmtId="168" fontId="7" fillId="12" borderId="18" xfId="0" applyNumberFormat="1" applyFont="1" applyFill="1" applyBorder="1" applyAlignment="1">
      <alignment horizontal="right" vertical="center"/>
    </xf>
    <xf numFmtId="168" fontId="7" fillId="12" borderId="19" xfId="0" applyNumberFormat="1" applyFont="1" applyFill="1" applyBorder="1" applyAlignment="1">
      <alignment horizontal="right" vertical="center"/>
    </xf>
    <xf numFmtId="168" fontId="7" fillId="12" borderId="20" xfId="0" applyNumberFormat="1" applyFont="1" applyFill="1" applyBorder="1" applyAlignment="1">
      <alignment horizontal="right" vertical="center"/>
    </xf>
    <xf numFmtId="168" fontId="7" fillId="12" borderId="21" xfId="0" applyNumberFormat="1" applyFont="1" applyFill="1" applyBorder="1" applyAlignment="1">
      <alignment horizontal="right" vertical="center"/>
    </xf>
    <xf numFmtId="168" fontId="7" fillId="12" borderId="22" xfId="0" applyNumberFormat="1" applyFont="1" applyFill="1" applyBorder="1" applyAlignment="1">
      <alignment horizontal="right" vertical="center"/>
    </xf>
    <xf numFmtId="168" fontId="7" fillId="12" borderId="23" xfId="0" applyNumberFormat="1" applyFont="1" applyFill="1" applyBorder="1" applyAlignment="1">
      <alignment horizontal="right" vertical="center"/>
    </xf>
    <xf numFmtId="168" fontId="10" fillId="2" borderId="2" xfId="0" applyNumberFormat="1" applyFont="1" applyFill="1" applyBorder="1" applyAlignment="1">
      <alignment horizontal="right" vertical="center"/>
    </xf>
    <xf numFmtId="0" fontId="7" fillId="17" borderId="3" xfId="0" applyFont="1" applyFill="1" applyBorder="1" applyAlignment="1">
      <alignment horizontal="left" vertical="center" wrapText="1"/>
    </xf>
    <xf numFmtId="0" fontId="7" fillId="17" borderId="6" xfId="0" quotePrefix="1" applyFont="1" applyFill="1" applyBorder="1" applyAlignment="1">
      <alignment horizontal="left" vertical="center" wrapText="1"/>
    </xf>
    <xf numFmtId="0" fontId="2" fillId="2" borderId="26" xfId="0" applyFont="1" applyFill="1" applyBorder="1" applyAlignment="1">
      <alignment horizontal="center" vertical="center" wrapText="1"/>
    </xf>
    <xf numFmtId="0" fontId="2" fillId="2" borderId="80"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7" fillId="0" borderId="19" xfId="0" applyFont="1" applyBorder="1" applyAlignment="1">
      <alignment horizontal="left" vertical="center" wrapText="1"/>
    </xf>
    <xf numFmtId="0" fontId="7" fillId="4" borderId="72" xfId="0" quotePrefix="1" applyFont="1" applyFill="1" applyBorder="1" applyAlignment="1">
      <alignment horizontal="left" vertical="center" wrapText="1"/>
    </xf>
    <xf numFmtId="4" fontId="7" fillId="0" borderId="71" xfId="0" applyNumberFormat="1" applyFont="1" applyBorder="1" applyAlignment="1">
      <alignment horizontal="center" vertical="center"/>
    </xf>
    <xf numFmtId="0" fontId="7" fillId="6" borderId="87" xfId="0" applyFont="1" applyFill="1" applyBorder="1" applyAlignment="1">
      <alignment horizontal="left" vertical="center" wrapText="1"/>
    </xf>
    <xf numFmtId="0" fontId="7" fillId="0" borderId="111" xfId="0" applyFont="1" applyBorder="1" applyAlignment="1">
      <alignment horizontal="left" vertical="center" wrapText="1"/>
    </xf>
    <xf numFmtId="4" fontId="10" fillId="16" borderId="25" xfId="0" applyNumberFormat="1" applyFont="1" applyFill="1" applyBorder="1" applyAlignment="1">
      <alignment horizontal="right" vertical="center"/>
    </xf>
    <xf numFmtId="4" fontId="14" fillId="14" borderId="28" xfId="0" applyNumberFormat="1" applyFont="1" applyFill="1" applyBorder="1" applyAlignment="1">
      <alignment horizontal="right" vertical="center"/>
    </xf>
    <xf numFmtId="4" fontId="14" fillId="14" borderId="29" xfId="0" applyNumberFormat="1" applyFont="1" applyFill="1" applyBorder="1" applyAlignment="1">
      <alignment horizontal="right" vertical="center"/>
    </xf>
    <xf numFmtId="4" fontId="14" fillId="14" borderId="3" xfId="0" applyNumberFormat="1" applyFont="1" applyFill="1" applyBorder="1" applyAlignment="1">
      <alignment horizontal="right" vertical="center"/>
    </xf>
    <xf numFmtId="4" fontId="14" fillId="14" borderId="5" xfId="0" applyNumberFormat="1" applyFont="1" applyFill="1" applyBorder="1" applyAlignment="1">
      <alignment horizontal="right" vertical="center"/>
    </xf>
    <xf numFmtId="4" fontId="14" fillId="14" borderId="11" xfId="0" applyNumberFormat="1" applyFont="1" applyFill="1" applyBorder="1" applyAlignment="1">
      <alignment horizontal="right" vertical="center"/>
    </xf>
    <xf numFmtId="4" fontId="14" fillId="14" borderId="12" xfId="0" applyNumberFormat="1" applyFont="1" applyFill="1" applyBorder="1" applyAlignment="1">
      <alignment horizontal="right" vertical="center"/>
    </xf>
    <xf numFmtId="4" fontId="14" fillId="14" borderId="6" xfId="0" applyNumberFormat="1" applyFont="1" applyFill="1" applyBorder="1" applyAlignment="1">
      <alignment horizontal="right" vertical="center"/>
    </xf>
    <xf numFmtId="4" fontId="14" fillId="14" borderId="8" xfId="0" applyNumberFormat="1" applyFont="1" applyFill="1" applyBorder="1" applyAlignment="1">
      <alignment horizontal="right" vertical="center"/>
    </xf>
    <xf numFmtId="4" fontId="14" fillId="14" borderId="41" xfId="0" applyNumberFormat="1" applyFont="1" applyFill="1" applyBorder="1" applyAlignment="1">
      <alignment horizontal="right" vertical="center"/>
    </xf>
    <xf numFmtId="4" fontId="14" fillId="14" borderId="78" xfId="0" applyNumberFormat="1" applyFont="1" applyFill="1" applyBorder="1" applyAlignment="1">
      <alignment horizontal="right" vertical="center"/>
    </xf>
    <xf numFmtId="4" fontId="14" fillId="14" borderId="16" xfId="0" applyNumberFormat="1" applyFont="1" applyFill="1" applyBorder="1" applyAlignment="1">
      <alignment horizontal="right" vertical="center"/>
    </xf>
    <xf numFmtId="4" fontId="14" fillId="14" borderId="86" xfId="0" applyNumberFormat="1" applyFont="1" applyFill="1" applyBorder="1" applyAlignment="1">
      <alignment horizontal="right" vertical="center"/>
    </xf>
    <xf numFmtId="4" fontId="10" fillId="16" borderId="26" xfId="0" applyNumberFormat="1" applyFont="1" applyFill="1" applyBorder="1" applyAlignment="1">
      <alignment horizontal="right" vertical="center"/>
    </xf>
    <xf numFmtId="4" fontId="14" fillId="14" borderId="103" xfId="0" applyNumberFormat="1" applyFont="1" applyFill="1" applyBorder="1" applyAlignment="1">
      <alignment horizontal="right" vertical="center"/>
    </xf>
    <xf numFmtId="4" fontId="14" fillId="14" borderId="9" xfId="0" applyNumberFormat="1" applyFont="1" applyFill="1" applyBorder="1" applyAlignment="1">
      <alignment horizontal="right" vertical="center"/>
    </xf>
    <xf numFmtId="4" fontId="14" fillId="14" borderId="33" xfId="0" applyNumberFormat="1" applyFont="1" applyFill="1" applyBorder="1" applyAlignment="1">
      <alignment horizontal="right" vertical="center"/>
    </xf>
    <xf numFmtId="4" fontId="14" fillId="14" borderId="10" xfId="0" applyNumberFormat="1" applyFont="1" applyFill="1" applyBorder="1" applyAlignment="1">
      <alignment horizontal="right" vertical="center"/>
    </xf>
    <xf numFmtId="4" fontId="14" fillId="14" borderId="112" xfId="0" applyNumberFormat="1" applyFont="1" applyFill="1" applyBorder="1" applyAlignment="1">
      <alignment horizontal="right" vertical="center"/>
    </xf>
    <xf numFmtId="4" fontId="14" fillId="14" borderId="107" xfId="0" applyNumberFormat="1" applyFont="1" applyFill="1" applyBorder="1" applyAlignment="1">
      <alignment horizontal="right" vertical="center"/>
    </xf>
    <xf numFmtId="4" fontId="10" fillId="16" borderId="105" xfId="0" applyNumberFormat="1" applyFont="1" applyFill="1" applyBorder="1" applyAlignment="1">
      <alignment horizontal="right" vertical="center"/>
    </xf>
    <xf numFmtId="4" fontId="10" fillId="16" borderId="42" xfId="0" applyNumberFormat="1" applyFont="1" applyFill="1" applyBorder="1" applyAlignment="1">
      <alignment horizontal="right" vertical="center"/>
    </xf>
    <xf numFmtId="0" fontId="7" fillId="4" borderId="31" xfId="0" quotePrefix="1" applyFont="1" applyFill="1" applyBorder="1" applyAlignment="1">
      <alignment horizontal="left" vertical="center" wrapText="1"/>
    </xf>
    <xf numFmtId="4" fontId="7" fillId="0" borderId="2" xfId="0" applyNumberFormat="1" applyFont="1" applyBorder="1" applyAlignment="1">
      <alignment horizontal="center" vertical="center"/>
    </xf>
    <xf numFmtId="0" fontId="7" fillId="0" borderId="30" xfId="0" applyFont="1" applyBorder="1" applyAlignment="1">
      <alignment horizontal="left" vertical="center"/>
    </xf>
    <xf numFmtId="0" fontId="7" fillId="0" borderId="113" xfId="0" quotePrefix="1" applyFont="1" applyBorder="1" applyAlignment="1">
      <alignment horizontal="left" vertical="center" wrapText="1"/>
    </xf>
    <xf numFmtId="0" fontId="7" fillId="0" borderId="16" xfId="0" applyFont="1" applyBorder="1" applyAlignment="1">
      <alignment horizontal="left" vertical="center" wrapText="1"/>
    </xf>
    <xf numFmtId="0" fontId="7" fillId="0" borderId="31" xfId="0" applyFont="1" applyBorder="1" applyAlignment="1">
      <alignment horizontal="center" vertical="center" wrapText="1"/>
    </xf>
    <xf numFmtId="0" fontId="7" fillId="0" borderId="86" xfId="0" applyFont="1" applyBorder="1" applyAlignment="1">
      <alignment horizontal="left" vertical="center" wrapText="1"/>
    </xf>
    <xf numFmtId="2" fontId="7" fillId="9" borderId="16" xfId="0" applyNumberFormat="1" applyFont="1" applyFill="1" applyBorder="1" applyAlignment="1">
      <alignment horizontal="center" vertical="center"/>
    </xf>
    <xf numFmtId="2" fontId="7" fillId="9" borderId="17" xfId="0" applyNumberFormat="1" applyFont="1" applyFill="1" applyBorder="1" applyAlignment="1">
      <alignment horizontal="center" vertical="center"/>
    </xf>
    <xf numFmtId="9" fontId="7" fillId="9" borderId="16" xfId="0" applyNumberFormat="1" applyFont="1" applyFill="1" applyBorder="1" applyAlignment="1">
      <alignment horizontal="center" vertical="center"/>
    </xf>
    <xf numFmtId="9" fontId="7" fillId="9" borderId="31" xfId="0" applyNumberFormat="1" applyFont="1" applyFill="1" applyBorder="1" applyAlignment="1">
      <alignment horizontal="center" vertical="center"/>
    </xf>
    <xf numFmtId="9" fontId="7" fillId="9" borderId="17" xfId="0" applyNumberFormat="1" applyFont="1" applyFill="1" applyBorder="1" applyAlignment="1">
      <alignment horizontal="center" vertical="center"/>
    </xf>
    <xf numFmtId="9" fontId="7" fillId="9" borderId="87" xfId="0" applyNumberFormat="1" applyFont="1" applyFill="1" applyBorder="1" applyAlignment="1">
      <alignment horizontal="center" vertical="center"/>
    </xf>
    <xf numFmtId="9" fontId="7" fillId="9" borderId="82" xfId="0" applyNumberFormat="1" applyFont="1" applyFill="1" applyBorder="1" applyAlignment="1">
      <alignment horizontal="center" vertical="center"/>
    </xf>
    <xf numFmtId="9" fontId="7" fillId="9" borderId="88" xfId="0" applyNumberFormat="1" applyFont="1" applyFill="1" applyBorder="1" applyAlignment="1">
      <alignment horizontal="center" vertical="center"/>
    </xf>
    <xf numFmtId="4" fontId="7" fillId="0" borderId="81" xfId="0" applyNumberFormat="1" applyFont="1" applyBorder="1" applyAlignment="1">
      <alignment horizontal="center" vertical="center"/>
    </xf>
    <xf numFmtId="0" fontId="7" fillId="9" borderId="26" xfId="0" applyFont="1" applyFill="1" applyBorder="1" applyAlignment="1">
      <alignment horizontal="center" vertical="center"/>
    </xf>
    <xf numFmtId="0" fontId="7" fillId="9" borderId="37" xfId="0" applyFont="1" applyFill="1" applyBorder="1" applyAlignment="1">
      <alignment horizontal="center" vertical="center"/>
    </xf>
    <xf numFmtId="168" fontId="7" fillId="12" borderId="24" xfId="0" applyNumberFormat="1" applyFont="1" applyFill="1" applyBorder="1" applyAlignment="1">
      <alignment horizontal="right" vertical="center"/>
    </xf>
    <xf numFmtId="4" fontId="14" fillId="14" borderId="26" xfId="0" applyNumberFormat="1" applyFont="1" applyFill="1" applyBorder="1" applyAlignment="1">
      <alignment horizontal="right" vertical="center"/>
    </xf>
    <xf numFmtId="4" fontId="14" fillId="14" borderId="25" xfId="0" applyNumberFormat="1" applyFont="1" applyFill="1" applyBorder="1" applyAlignment="1">
      <alignment horizontal="right" vertical="center"/>
    </xf>
    <xf numFmtId="4" fontId="14" fillId="14" borderId="105" xfId="0" applyNumberFormat="1" applyFont="1" applyFill="1" applyBorder="1" applyAlignment="1">
      <alignment horizontal="right" vertical="center"/>
    </xf>
    <xf numFmtId="4" fontId="14" fillId="14" borderId="42" xfId="0" applyNumberFormat="1" applyFont="1" applyFill="1" applyBorder="1" applyAlignment="1">
      <alignment horizontal="right" vertical="center"/>
    </xf>
    <xf numFmtId="4" fontId="7" fillId="0" borderId="24" xfId="0" applyNumberFormat="1" applyFont="1" applyBorder="1" applyAlignment="1">
      <alignment horizontal="center" vertical="center"/>
    </xf>
    <xf numFmtId="0" fontId="7" fillId="17" borderId="26" xfId="0" applyFont="1" applyFill="1" applyBorder="1" applyAlignment="1">
      <alignment horizontal="left" vertical="center" wrapText="1"/>
    </xf>
    <xf numFmtId="9" fontId="17" fillId="9" borderId="6" xfId="0" applyNumberFormat="1" applyFont="1" applyFill="1" applyBorder="1" applyAlignment="1">
      <alignment horizontal="center" vertical="center"/>
    </xf>
    <xf numFmtId="9" fontId="17" fillId="9" borderId="7" xfId="0" applyNumberFormat="1" applyFont="1" applyFill="1" applyBorder="1" applyAlignment="1">
      <alignment horizontal="center" vertical="center"/>
    </xf>
    <xf numFmtId="9" fontId="17" fillId="9" borderId="14" xfId="0" applyNumberFormat="1" applyFont="1" applyFill="1" applyBorder="1" applyAlignment="1">
      <alignment horizontal="center" vertical="center"/>
    </xf>
    <xf numFmtId="0" fontId="7" fillId="19" borderId="44" xfId="0" quotePrefix="1" applyFont="1" applyFill="1" applyBorder="1" applyAlignment="1">
      <alignment horizontal="left" vertical="center" wrapText="1"/>
    </xf>
    <xf numFmtId="0" fontId="7" fillId="19" borderId="13" xfId="0" quotePrefix="1" applyFont="1" applyFill="1" applyBorder="1" applyAlignment="1">
      <alignment horizontal="left" vertical="center" wrapText="1"/>
    </xf>
    <xf numFmtId="0" fontId="7" fillId="19" borderId="15" xfId="0" quotePrefix="1" applyFont="1" applyFill="1" applyBorder="1" applyAlignment="1">
      <alignment horizontal="left" vertical="center" wrapText="1"/>
    </xf>
    <xf numFmtId="0" fontId="7" fillId="19" borderId="14" xfId="0" applyFont="1" applyFill="1" applyBorder="1" applyAlignment="1">
      <alignment horizontal="left" vertical="center" wrapText="1"/>
    </xf>
    <xf numFmtId="0" fontId="7" fillId="19" borderId="45" xfId="0" quotePrefix="1" applyFont="1" applyFill="1" applyBorder="1" applyAlignment="1">
      <alignment horizontal="left" vertical="center" wrapText="1"/>
    </xf>
    <xf numFmtId="0" fontId="7" fillId="19" borderId="17" xfId="0" quotePrefix="1" applyFont="1" applyFill="1" applyBorder="1" applyAlignment="1">
      <alignment horizontal="left" vertical="center" wrapText="1"/>
    </xf>
    <xf numFmtId="0" fontId="7" fillId="19" borderId="5" xfId="0" quotePrefix="1" applyFont="1" applyFill="1" applyBorder="1" applyAlignment="1">
      <alignment horizontal="left" vertical="center" wrapText="1"/>
    </xf>
    <xf numFmtId="0" fontId="7" fillId="19" borderId="12" xfId="0" quotePrefix="1" applyFont="1" applyFill="1" applyBorder="1" applyAlignment="1">
      <alignment horizontal="left" vertical="center" wrapText="1"/>
    </xf>
    <xf numFmtId="0" fontId="7" fillId="19" borderId="8" xfId="0" quotePrefix="1" applyFont="1" applyFill="1" applyBorder="1" applyAlignment="1">
      <alignment horizontal="left" vertical="center"/>
    </xf>
    <xf numFmtId="0" fontId="7" fillId="19" borderId="78" xfId="0" quotePrefix="1" applyFont="1" applyFill="1" applyBorder="1" applyAlignment="1">
      <alignment horizontal="left" vertical="center" wrapText="1"/>
    </xf>
    <xf numFmtId="0" fontId="7" fillId="19" borderId="8" xfId="0" quotePrefix="1" applyFont="1" applyFill="1" applyBorder="1" applyAlignment="1">
      <alignment horizontal="left" vertical="center" wrapText="1"/>
    </xf>
    <xf numFmtId="0" fontId="7" fillId="19" borderId="86" xfId="0" quotePrefix="1" applyFont="1" applyFill="1" applyBorder="1" applyAlignment="1">
      <alignment horizontal="left" vertical="center" wrapText="1"/>
    </xf>
    <xf numFmtId="0" fontId="7" fillId="19" borderId="27" xfId="0" quotePrefix="1" applyFont="1" applyFill="1" applyBorder="1" applyAlignment="1">
      <alignment horizontal="left" vertical="center"/>
    </xf>
    <xf numFmtId="0" fontId="0" fillId="19" borderId="2" xfId="0" applyFill="1" applyBorder="1" applyAlignment="1">
      <alignment horizontal="center" vertical="center"/>
    </xf>
    <xf numFmtId="0" fontId="7" fillId="6" borderId="91" xfId="0" quotePrefix="1" applyFont="1" applyFill="1" applyBorder="1" applyAlignment="1">
      <alignment horizontal="left" vertical="center" wrapText="1"/>
    </xf>
    <xf numFmtId="4" fontId="14" fillId="14" borderId="16" xfId="0" applyNumberFormat="1" applyFont="1" applyFill="1" applyBorder="1" applyAlignment="1">
      <alignment horizontal="right" vertical="center" wrapText="1"/>
    </xf>
    <xf numFmtId="4" fontId="14" fillId="14" borderId="28" xfId="0" applyNumberFormat="1" applyFont="1" applyFill="1" applyBorder="1" applyAlignment="1">
      <alignment horizontal="right" vertical="center" wrapText="1"/>
    </xf>
    <xf numFmtId="4" fontId="14" fillId="14" borderId="6" xfId="0" applyNumberFormat="1" applyFont="1" applyFill="1" applyBorder="1" applyAlignment="1">
      <alignment horizontal="right" vertical="center" wrapText="1"/>
    </xf>
    <xf numFmtId="4" fontId="14" fillId="14" borderId="3" xfId="0" applyNumberFormat="1" applyFont="1" applyFill="1" applyBorder="1" applyAlignment="1">
      <alignment horizontal="right" vertical="center" wrapText="1"/>
    </xf>
    <xf numFmtId="168" fontId="17" fillId="12" borderId="23" xfId="0" applyNumberFormat="1" applyFont="1" applyFill="1" applyBorder="1" applyAlignment="1">
      <alignment horizontal="right" vertical="center"/>
    </xf>
    <xf numFmtId="0" fontId="17" fillId="9" borderId="14" xfId="0" applyFont="1" applyFill="1" applyBorder="1" applyAlignment="1">
      <alignment horizontal="center" vertical="center"/>
    </xf>
    <xf numFmtId="0" fontId="17" fillId="9" borderId="6" xfId="0" applyFont="1" applyFill="1" applyBorder="1" applyAlignment="1">
      <alignment horizontal="center" vertical="center"/>
    </xf>
    <xf numFmtId="168" fontId="17" fillId="12" borderId="21" xfId="0" applyNumberFormat="1" applyFont="1" applyFill="1" applyBorder="1" applyAlignment="1">
      <alignment horizontal="right" vertical="center"/>
    </xf>
    <xf numFmtId="0" fontId="41" fillId="0" borderId="0" xfId="0" applyFont="1" applyAlignment="1">
      <alignment horizontal="left" vertical="center" wrapText="1"/>
    </xf>
    <xf numFmtId="0" fontId="42" fillId="0" borderId="0" xfId="0" applyFont="1" applyAlignment="1">
      <alignment horizontal="left" vertical="center" wrapText="1"/>
    </xf>
    <xf numFmtId="0" fontId="0" fillId="0" borderId="0" xfId="0" applyAlignment="1">
      <alignment vertical="center" wrapText="1"/>
    </xf>
    <xf numFmtId="0" fontId="43" fillId="0" borderId="0" xfId="0" applyFont="1" applyAlignment="1">
      <alignment vertical="center" wrapText="1"/>
    </xf>
    <xf numFmtId="0" fontId="41" fillId="0" borderId="0" xfId="0" applyFont="1" applyAlignment="1">
      <alignment vertical="center" wrapText="1"/>
    </xf>
    <xf numFmtId="0" fontId="44" fillId="0" borderId="0" xfId="0" applyFont="1" applyAlignment="1">
      <alignment vertical="center" wrapText="1"/>
    </xf>
    <xf numFmtId="0" fontId="45" fillId="0" borderId="0" xfId="0" applyFont="1" applyAlignment="1">
      <alignment vertical="center" wrapText="1"/>
    </xf>
    <xf numFmtId="0" fontId="47" fillId="0" borderId="0" xfId="0" applyFont="1" applyAlignment="1">
      <alignment vertical="center" wrapText="1"/>
    </xf>
    <xf numFmtId="0" fontId="48" fillId="0" borderId="0" xfId="0" applyFont="1" applyAlignment="1">
      <alignment vertical="center" wrapText="1"/>
    </xf>
    <xf numFmtId="0" fontId="43" fillId="0" borderId="0" xfId="0" applyFont="1" applyAlignment="1">
      <alignment horizontal="left" vertical="center" wrapText="1"/>
    </xf>
    <xf numFmtId="0" fontId="44" fillId="0" borderId="0" xfId="0" applyFont="1" applyAlignment="1">
      <alignment horizontal="left" vertical="center" wrapText="1"/>
    </xf>
    <xf numFmtId="0" fontId="0" fillId="0" borderId="0" xfId="0" applyAlignment="1">
      <alignment horizontal="left"/>
    </xf>
    <xf numFmtId="0" fontId="40" fillId="0" borderId="0" xfId="0" applyFont="1" applyAlignment="1">
      <alignment vertical="center" wrapText="1"/>
    </xf>
    <xf numFmtId="0" fontId="7" fillId="4" borderId="80" xfId="0" applyFont="1" applyFill="1" applyBorder="1" applyAlignment="1">
      <alignment horizontal="left" vertical="center" wrapText="1"/>
    </xf>
    <xf numFmtId="0" fontId="59" fillId="0" borderId="0" xfId="0" applyFont="1" applyAlignment="1">
      <alignment horizontal="center" vertical="center"/>
    </xf>
    <xf numFmtId="0" fontId="60" fillId="2" borderId="26" xfId="0" applyFont="1" applyFill="1" applyBorder="1" applyAlignment="1">
      <alignment horizontal="center" vertical="center" wrapText="1"/>
    </xf>
    <xf numFmtId="0" fontId="60" fillId="2" borderId="80" xfId="0" applyFont="1" applyFill="1" applyBorder="1" applyAlignment="1">
      <alignment horizontal="center" vertical="center" wrapText="1"/>
    </xf>
    <xf numFmtId="0" fontId="60" fillId="2" borderId="27" xfId="0" applyFont="1" applyFill="1" applyBorder="1" applyAlignment="1">
      <alignment horizontal="center" vertical="center" wrapText="1"/>
    </xf>
    <xf numFmtId="0" fontId="52" fillId="2" borderId="6" xfId="0" applyFont="1" applyFill="1" applyBorder="1" applyAlignment="1">
      <alignment horizontal="center" textRotation="90"/>
    </xf>
    <xf numFmtId="0" fontId="52" fillId="2" borderId="7" xfId="0" applyFont="1" applyFill="1" applyBorder="1" applyAlignment="1">
      <alignment horizontal="center" textRotation="90"/>
    </xf>
    <xf numFmtId="0" fontId="52" fillId="2" borderId="14" xfId="0" applyFont="1" applyFill="1" applyBorder="1" applyAlignment="1">
      <alignment horizontal="center" textRotation="90"/>
    </xf>
    <xf numFmtId="0" fontId="61" fillId="2" borderId="16" xfId="0" applyFont="1" applyFill="1" applyBorder="1" applyAlignment="1">
      <alignment horizontal="center" vertical="center" wrapText="1"/>
    </xf>
    <xf numFmtId="0" fontId="61" fillId="2" borderId="109" xfId="0" applyFont="1" applyFill="1" applyBorder="1" applyAlignment="1">
      <alignment horizontal="center" vertical="center" wrapText="1"/>
    </xf>
    <xf numFmtId="0" fontId="52" fillId="2" borderId="6" xfId="0" applyFont="1" applyFill="1" applyBorder="1" applyAlignment="1">
      <alignment horizontal="center" vertical="center"/>
    </xf>
    <xf numFmtId="0" fontId="52" fillId="2" borderId="73" xfId="0" applyFont="1" applyFill="1" applyBorder="1" applyAlignment="1">
      <alignment horizontal="center" vertical="center"/>
    </xf>
    <xf numFmtId="0" fontId="62" fillId="2" borderId="8" xfId="0" applyFont="1" applyFill="1" applyBorder="1" applyAlignment="1">
      <alignment horizontal="center" vertical="center" wrapText="1"/>
    </xf>
    <xf numFmtId="0" fontId="60" fillId="0" borderId="0" xfId="0" applyFont="1" applyAlignment="1">
      <alignment horizontal="center" textRotation="90"/>
    </xf>
    <xf numFmtId="0" fontId="64" fillId="0" borderId="26" xfId="0" applyFont="1" applyBorder="1" applyAlignment="1">
      <alignment horizontal="left" vertical="center" wrapText="1"/>
    </xf>
    <xf numFmtId="0" fontId="64" fillId="0" borderId="80" xfId="0" applyFont="1" applyBorder="1" applyAlignment="1">
      <alignment horizontal="center" vertical="center" wrapText="1"/>
    </xf>
    <xf numFmtId="0" fontId="64" fillId="0" borderId="27" xfId="0" applyFont="1" applyBorder="1" applyAlignment="1">
      <alignment horizontal="left" vertical="center" wrapText="1"/>
    </xf>
    <xf numFmtId="2" fontId="64" fillId="9" borderId="26" xfId="0" applyNumberFormat="1" applyFont="1" applyFill="1" applyBorder="1" applyAlignment="1">
      <alignment horizontal="center" vertical="center"/>
    </xf>
    <xf numFmtId="2" fontId="64" fillId="9" borderId="27" xfId="0" applyNumberFormat="1" applyFont="1" applyFill="1" applyBorder="1" applyAlignment="1">
      <alignment horizontal="center" vertical="center"/>
    </xf>
    <xf numFmtId="168" fontId="64" fillId="12" borderId="32" xfId="0" applyNumberFormat="1" applyFont="1" applyFill="1" applyBorder="1" applyAlignment="1">
      <alignment horizontal="right" vertical="center"/>
    </xf>
    <xf numFmtId="9" fontId="64" fillId="9" borderId="28" xfId="0" applyNumberFormat="1" applyFont="1" applyFill="1" applyBorder="1" applyAlignment="1">
      <alignment horizontal="center" vertical="center"/>
    </xf>
    <xf numFmtId="9" fontId="64" fillId="9" borderId="47" xfId="0" applyNumberFormat="1" applyFont="1" applyFill="1" applyBorder="1" applyAlignment="1">
      <alignment horizontal="center" vertical="center"/>
    </xf>
    <xf numFmtId="9" fontId="64" fillId="9" borderId="44" xfId="0" applyNumberFormat="1" applyFont="1" applyFill="1" applyBorder="1" applyAlignment="1">
      <alignment horizontal="center" vertical="center"/>
    </xf>
    <xf numFmtId="4" fontId="65" fillId="14" borderId="28" xfId="0" applyNumberFormat="1" applyFont="1" applyFill="1" applyBorder="1" applyAlignment="1">
      <alignment horizontal="right" vertical="center" wrapText="1"/>
    </xf>
    <xf numFmtId="4" fontId="65" fillId="14" borderId="29" xfId="0" applyNumberFormat="1" applyFont="1" applyFill="1" applyBorder="1" applyAlignment="1">
      <alignment horizontal="right" vertical="center"/>
    </xf>
    <xf numFmtId="4" fontId="65" fillId="14" borderId="103" xfId="0" applyNumberFormat="1" applyFont="1" applyFill="1" applyBorder="1" applyAlignment="1">
      <alignment horizontal="right" vertical="center"/>
    </xf>
    <xf numFmtId="4" fontId="64" fillId="0" borderId="2" xfId="0" applyNumberFormat="1" applyFont="1" applyBorder="1" applyAlignment="1">
      <alignment horizontal="center" vertical="center"/>
    </xf>
    <xf numFmtId="0" fontId="64" fillId="6" borderId="28" xfId="0" applyFont="1" applyFill="1" applyBorder="1" applyAlignment="1">
      <alignment horizontal="left" vertical="center" wrapText="1"/>
    </xf>
    <xf numFmtId="0" fontId="64" fillId="4" borderId="98" xfId="0" applyFont="1" applyFill="1" applyBorder="1" applyAlignment="1">
      <alignment horizontal="left" vertical="center" wrapText="1"/>
    </xf>
    <xf numFmtId="0" fontId="64" fillId="19" borderId="44" xfId="0" quotePrefix="1" applyFont="1" applyFill="1" applyBorder="1" applyAlignment="1">
      <alignment horizontal="left" vertical="center" wrapText="1"/>
    </xf>
    <xf numFmtId="0" fontId="64" fillId="0" borderId="2" xfId="0" applyFont="1" applyBorder="1" applyAlignment="1">
      <alignment horizontal="left" vertical="center" wrapText="1"/>
    </xf>
    <xf numFmtId="0" fontId="64" fillId="0" borderId="0" xfId="0" applyFont="1" applyAlignment="1">
      <alignment horizontal="center" vertical="center"/>
    </xf>
    <xf numFmtId="0" fontId="64" fillId="0" borderId="3" xfId="0" applyFont="1" applyBorder="1" applyAlignment="1">
      <alignment horizontal="left" vertical="center" wrapText="1"/>
    </xf>
    <xf numFmtId="0" fontId="64" fillId="0" borderId="4" xfId="0" applyFont="1" applyBorder="1" applyAlignment="1">
      <alignment horizontal="center" vertical="center" wrapText="1"/>
    </xf>
    <xf numFmtId="0" fontId="64" fillId="0" borderId="5" xfId="0" applyFont="1" applyBorder="1" applyAlignment="1">
      <alignment horizontal="left" vertical="center" wrapText="1"/>
    </xf>
    <xf numFmtId="2" fontId="64" fillId="9" borderId="11" xfId="0" applyNumberFormat="1" applyFont="1" applyFill="1" applyBorder="1" applyAlignment="1">
      <alignment horizontal="center" vertical="center"/>
    </xf>
    <xf numFmtId="2" fontId="64" fillId="9" borderId="15" xfId="0" applyNumberFormat="1" applyFont="1" applyFill="1" applyBorder="1" applyAlignment="1">
      <alignment horizontal="center" vertical="center"/>
    </xf>
    <xf numFmtId="168" fontId="64" fillId="12" borderId="18" xfId="0" applyNumberFormat="1" applyFont="1" applyFill="1" applyBorder="1" applyAlignment="1">
      <alignment horizontal="right" vertical="center"/>
    </xf>
    <xf numFmtId="9" fontId="64" fillId="9" borderId="75" xfId="0" applyNumberFormat="1" applyFont="1" applyFill="1" applyBorder="1" applyAlignment="1">
      <alignment horizontal="center" vertical="center"/>
    </xf>
    <xf numFmtId="9" fontId="64" fillId="9" borderId="51" xfId="0" applyNumberFormat="1" applyFont="1" applyFill="1" applyBorder="1" applyAlignment="1">
      <alignment horizontal="center" vertical="center"/>
    </xf>
    <xf numFmtId="9" fontId="64" fillId="9" borderId="52" xfId="0" applyNumberFormat="1" applyFont="1" applyFill="1" applyBorder="1" applyAlignment="1">
      <alignment horizontal="center" vertical="center"/>
    </xf>
    <xf numFmtId="9" fontId="64" fillId="9" borderId="83" xfId="0" applyNumberFormat="1" applyFont="1" applyFill="1" applyBorder="1" applyAlignment="1">
      <alignment horizontal="center" vertical="center"/>
    </xf>
    <xf numFmtId="4" fontId="65" fillId="14" borderId="3" xfId="0" applyNumberFormat="1" applyFont="1" applyFill="1" applyBorder="1" applyAlignment="1">
      <alignment horizontal="right" vertical="center"/>
    </xf>
    <xf numFmtId="4" fontId="65" fillId="14" borderId="5" xfId="0" applyNumberFormat="1" applyFont="1" applyFill="1" applyBorder="1" applyAlignment="1">
      <alignment horizontal="right" vertical="center"/>
    </xf>
    <xf numFmtId="4" fontId="65" fillId="14" borderId="9" xfId="0" applyNumberFormat="1" applyFont="1" applyFill="1" applyBorder="1" applyAlignment="1">
      <alignment horizontal="right" vertical="center"/>
    </xf>
    <xf numFmtId="4" fontId="64" fillId="0" borderId="90" xfId="0" applyNumberFormat="1" applyFont="1" applyBorder="1" applyAlignment="1">
      <alignment horizontal="center" vertical="center"/>
    </xf>
    <xf numFmtId="0" fontId="64" fillId="6" borderId="3" xfId="0" quotePrefix="1" applyFont="1" applyFill="1" applyBorder="1" applyAlignment="1">
      <alignment horizontal="left" vertical="center" wrapText="1"/>
    </xf>
    <xf numFmtId="0" fontId="64" fillId="4" borderId="71" xfId="0" quotePrefix="1" applyFont="1" applyFill="1" applyBorder="1" applyAlignment="1">
      <alignment horizontal="left" vertical="center" wrapText="1"/>
    </xf>
    <xf numFmtId="0" fontId="64" fillId="19" borderId="13" xfId="0" quotePrefix="1" applyFont="1" applyFill="1" applyBorder="1" applyAlignment="1">
      <alignment horizontal="left" vertical="center" wrapText="1"/>
    </xf>
    <xf numFmtId="0" fontId="64" fillId="0" borderId="18" xfId="0" applyFont="1" applyBorder="1" applyAlignment="1">
      <alignment horizontal="left" vertical="center"/>
    </xf>
    <xf numFmtId="0" fontId="64" fillId="0" borderId="11" xfId="0" applyFont="1" applyBorder="1" applyAlignment="1">
      <alignment horizontal="left" vertical="center" wrapText="1"/>
    </xf>
    <xf numFmtId="0" fontId="64" fillId="0" borderId="1" xfId="0" applyFont="1" applyBorder="1" applyAlignment="1">
      <alignment horizontal="center" vertical="center" wrapText="1"/>
    </xf>
    <xf numFmtId="0" fontId="64" fillId="0" borderId="12" xfId="0" applyFont="1" applyBorder="1" applyAlignment="1">
      <alignment horizontal="left" vertical="center" wrapText="1"/>
    </xf>
    <xf numFmtId="168" fontId="64" fillId="12" borderId="19" xfId="0" applyNumberFormat="1" applyFont="1" applyFill="1" applyBorder="1" applyAlignment="1">
      <alignment horizontal="right" vertical="center"/>
    </xf>
    <xf numFmtId="9" fontId="64" fillId="9" borderId="76" xfId="0" applyNumberFormat="1" applyFont="1" applyFill="1" applyBorder="1" applyAlignment="1">
      <alignment horizontal="center" vertical="center"/>
    </xf>
    <xf numFmtId="9" fontId="64" fillId="9" borderId="49" xfId="0" applyNumberFormat="1" applyFont="1" applyFill="1" applyBorder="1" applyAlignment="1">
      <alignment horizontal="center" vertical="center"/>
    </xf>
    <xf numFmtId="9" fontId="64" fillId="9" borderId="54" xfId="0" applyNumberFormat="1" applyFont="1" applyFill="1" applyBorder="1" applyAlignment="1">
      <alignment horizontal="center" vertical="center"/>
    </xf>
    <xf numFmtId="9" fontId="64" fillId="9" borderId="84" xfId="0" applyNumberFormat="1" applyFont="1" applyFill="1" applyBorder="1" applyAlignment="1">
      <alignment horizontal="center" vertical="center"/>
    </xf>
    <xf numFmtId="4" fontId="65" fillId="14" borderId="11" xfId="0" applyNumberFormat="1" applyFont="1" applyFill="1" applyBorder="1" applyAlignment="1">
      <alignment horizontal="right" vertical="center"/>
    </xf>
    <xf numFmtId="4" fontId="65" fillId="14" borderId="12" xfId="0" applyNumberFormat="1" applyFont="1" applyFill="1" applyBorder="1" applyAlignment="1">
      <alignment horizontal="right" vertical="center"/>
    </xf>
    <xf numFmtId="4" fontId="65" fillId="14" borderId="33" xfId="0" applyNumberFormat="1" applyFont="1" applyFill="1" applyBorder="1" applyAlignment="1">
      <alignment horizontal="right" vertical="center"/>
    </xf>
    <xf numFmtId="4" fontId="64" fillId="0" borderId="110" xfId="0" applyNumberFormat="1" applyFont="1" applyBorder="1" applyAlignment="1">
      <alignment horizontal="center" vertical="center"/>
    </xf>
    <xf numFmtId="0" fontId="64" fillId="6" borderId="11" xfId="0" applyFont="1" applyFill="1" applyBorder="1" applyAlignment="1">
      <alignment horizontal="left" vertical="center"/>
    </xf>
    <xf numFmtId="0" fontId="64" fillId="4" borderId="72" xfId="0" applyFont="1" applyFill="1" applyBorder="1" applyAlignment="1">
      <alignment horizontal="left" vertical="center" wrapText="1"/>
    </xf>
    <xf numFmtId="0" fontId="64" fillId="19" borderId="15" xfId="0" quotePrefix="1" applyFont="1" applyFill="1" applyBorder="1" applyAlignment="1">
      <alignment horizontal="left" vertical="center" wrapText="1"/>
    </xf>
    <xf numFmtId="0" fontId="64" fillId="0" borderId="19" xfId="0" applyFont="1" applyBorder="1" applyAlignment="1">
      <alignment horizontal="left" vertical="center"/>
    </xf>
    <xf numFmtId="0" fontId="64" fillId="0" borderId="6" xfId="0" applyFont="1" applyBorder="1" applyAlignment="1">
      <alignment horizontal="left" vertical="center" wrapText="1"/>
    </xf>
    <xf numFmtId="0" fontId="64" fillId="0" borderId="7" xfId="0" applyFont="1" applyBorder="1" applyAlignment="1">
      <alignment horizontal="center" vertical="center" wrapText="1"/>
    </xf>
    <xf numFmtId="0" fontId="64" fillId="0" borderId="8" xfId="0" applyFont="1" applyBorder="1" applyAlignment="1">
      <alignment horizontal="left" vertical="center" wrapText="1"/>
    </xf>
    <xf numFmtId="168" fontId="64" fillId="12" borderId="20" xfId="0" applyNumberFormat="1" applyFont="1" applyFill="1" applyBorder="1" applyAlignment="1">
      <alignment horizontal="right" vertical="center"/>
    </xf>
    <xf numFmtId="9" fontId="64" fillId="9" borderId="77" xfId="0" applyNumberFormat="1" applyFont="1" applyFill="1" applyBorder="1" applyAlignment="1">
      <alignment horizontal="center" vertical="center"/>
    </xf>
    <xf numFmtId="9" fontId="64" fillId="9" borderId="56" xfId="0" applyNumberFormat="1" applyFont="1" applyFill="1" applyBorder="1" applyAlignment="1">
      <alignment horizontal="center" vertical="center"/>
    </xf>
    <xf numFmtId="9" fontId="64" fillId="9" borderId="57" xfId="0" applyNumberFormat="1" applyFont="1" applyFill="1" applyBorder="1" applyAlignment="1">
      <alignment horizontal="center" vertical="center"/>
    </xf>
    <xf numFmtId="9" fontId="64" fillId="9" borderId="85" xfId="0" applyNumberFormat="1" applyFont="1" applyFill="1" applyBorder="1" applyAlignment="1">
      <alignment horizontal="center" vertical="center"/>
    </xf>
    <xf numFmtId="4" fontId="65" fillId="14" borderId="16" xfId="0" applyNumberFormat="1" applyFont="1" applyFill="1" applyBorder="1" applyAlignment="1">
      <alignment horizontal="right" vertical="center" wrapText="1"/>
    </xf>
    <xf numFmtId="4" fontId="65" fillId="14" borderId="86" xfId="0" applyNumberFormat="1" applyFont="1" applyFill="1" applyBorder="1" applyAlignment="1">
      <alignment horizontal="right" vertical="center"/>
    </xf>
    <xf numFmtId="4" fontId="65" fillId="14" borderId="10" xfId="0" applyNumberFormat="1" applyFont="1" applyFill="1" applyBorder="1" applyAlignment="1">
      <alignment horizontal="right" vertical="center"/>
    </xf>
    <xf numFmtId="4" fontId="65" fillId="14" borderId="8" xfId="0" applyNumberFormat="1" applyFont="1" applyFill="1" applyBorder="1" applyAlignment="1">
      <alignment horizontal="right" vertical="center"/>
    </xf>
    <xf numFmtId="4" fontId="64" fillId="0" borderId="111" xfId="0" applyNumberFormat="1" applyFont="1" applyBorder="1" applyAlignment="1">
      <alignment horizontal="center" vertical="center"/>
    </xf>
    <xf numFmtId="0" fontId="64" fillId="6" borderId="6" xfId="0" quotePrefix="1" applyFont="1" applyFill="1" applyBorder="1" applyAlignment="1">
      <alignment horizontal="left" vertical="center" wrapText="1"/>
    </xf>
    <xf numFmtId="0" fontId="64" fillId="4" borderId="73" xfId="0" quotePrefix="1" applyFont="1" applyFill="1" applyBorder="1" applyAlignment="1">
      <alignment horizontal="left" vertical="center" wrapText="1"/>
    </xf>
    <xf numFmtId="0" fontId="64" fillId="19" borderId="14" xfId="0" quotePrefix="1" applyFont="1" applyFill="1" applyBorder="1" applyAlignment="1">
      <alignment horizontal="left" vertical="center" wrapText="1"/>
    </xf>
    <xf numFmtId="0" fontId="64" fillId="0" borderId="30" xfId="0" applyFont="1" applyBorder="1" applyAlignment="1">
      <alignment horizontal="left" vertical="center"/>
    </xf>
    <xf numFmtId="2" fontId="64" fillId="9" borderId="3" xfId="0" applyNumberFormat="1" applyFont="1" applyFill="1" applyBorder="1" applyAlignment="1">
      <alignment horizontal="center" vertical="center"/>
    </xf>
    <xf numFmtId="2" fontId="64" fillId="9" borderId="13" xfId="0" applyNumberFormat="1" applyFont="1" applyFill="1" applyBorder="1" applyAlignment="1">
      <alignment horizontal="center" vertical="center"/>
    </xf>
    <xf numFmtId="168" fontId="64" fillId="12" borderId="21" xfId="0" applyNumberFormat="1" applyFont="1" applyFill="1" applyBorder="1" applyAlignment="1">
      <alignment horizontal="right" vertical="center"/>
    </xf>
    <xf numFmtId="9" fontId="64" fillId="9" borderId="41" xfId="0" applyNumberFormat="1" applyFont="1" applyFill="1" applyBorder="1" applyAlignment="1">
      <alignment horizontal="center" vertical="center"/>
    </xf>
    <xf numFmtId="9" fontId="64" fillId="9" borderId="48" xfId="0" applyNumberFormat="1" applyFont="1" applyFill="1" applyBorder="1" applyAlignment="1">
      <alignment horizontal="center" vertical="center"/>
    </xf>
    <xf numFmtId="9" fontId="64" fillId="9" borderId="78" xfId="0" applyNumberFormat="1" applyFont="1" applyFill="1" applyBorder="1" applyAlignment="1">
      <alignment horizontal="center" vertical="center"/>
    </xf>
    <xf numFmtId="9" fontId="64" fillId="9" borderId="45" xfId="0" applyNumberFormat="1" applyFont="1" applyFill="1" applyBorder="1" applyAlignment="1">
      <alignment horizontal="center" vertical="center"/>
    </xf>
    <xf numFmtId="4" fontId="65" fillId="14" borderId="112" xfId="0" applyNumberFormat="1" applyFont="1" applyFill="1" applyBorder="1" applyAlignment="1">
      <alignment horizontal="right" vertical="center"/>
    </xf>
    <xf numFmtId="4" fontId="65" fillId="14" borderId="78" xfId="0" applyNumberFormat="1" applyFont="1" applyFill="1" applyBorder="1" applyAlignment="1">
      <alignment horizontal="right" vertical="center"/>
    </xf>
    <xf numFmtId="0" fontId="64" fillId="6" borderId="41" xfId="0" applyFont="1" applyFill="1" applyBorder="1" applyAlignment="1">
      <alignment horizontal="left" vertical="center" wrapText="1"/>
    </xf>
    <xf numFmtId="0" fontId="64" fillId="4" borderId="102" xfId="0" quotePrefix="1" applyFont="1" applyFill="1" applyBorder="1" applyAlignment="1">
      <alignment horizontal="left" vertical="center" wrapText="1"/>
    </xf>
    <xf numFmtId="0" fontId="64" fillId="19" borderId="45" xfId="0" quotePrefix="1" applyFont="1" applyFill="1" applyBorder="1" applyAlignment="1">
      <alignment horizontal="left" vertical="center" wrapText="1"/>
    </xf>
    <xf numFmtId="0" fontId="64" fillId="0" borderId="18" xfId="0" applyFont="1" applyBorder="1" applyAlignment="1">
      <alignment horizontal="left" vertical="center" wrapText="1"/>
    </xf>
    <xf numFmtId="168" fontId="64" fillId="12" borderId="22" xfId="0" applyNumberFormat="1" applyFont="1" applyFill="1" applyBorder="1" applyAlignment="1">
      <alignment horizontal="right" vertical="center"/>
    </xf>
    <xf numFmtId="9" fontId="64" fillId="9" borderId="11" xfId="0" applyNumberFormat="1" applyFont="1" applyFill="1" applyBorder="1" applyAlignment="1">
      <alignment horizontal="center" vertical="center"/>
    </xf>
    <xf numFmtId="9" fontId="64" fillId="9" borderId="1" xfId="0" applyNumberFormat="1" applyFont="1" applyFill="1" applyBorder="1" applyAlignment="1">
      <alignment horizontal="center" vertical="center"/>
    </xf>
    <xf numFmtId="9" fontId="64" fillId="9" borderId="12" xfId="0" applyNumberFormat="1" applyFont="1" applyFill="1" applyBorder="1" applyAlignment="1">
      <alignment horizontal="center" vertical="center"/>
    </xf>
    <xf numFmtId="9" fontId="64" fillId="9" borderId="15" xfId="0" applyNumberFormat="1" applyFont="1" applyFill="1" applyBorder="1" applyAlignment="1">
      <alignment horizontal="center" vertical="center"/>
    </xf>
    <xf numFmtId="0" fontId="64" fillId="6" borderId="11" xfId="0" applyFont="1" applyFill="1" applyBorder="1" applyAlignment="1">
      <alignment horizontal="left" vertical="center" wrapText="1"/>
    </xf>
    <xf numFmtId="0" fontId="64" fillId="4" borderId="72" xfId="0" quotePrefix="1" applyFont="1" applyFill="1" applyBorder="1" applyAlignment="1">
      <alignment horizontal="left" vertical="center" wrapText="1"/>
    </xf>
    <xf numFmtId="0" fontId="64" fillId="0" borderId="19" xfId="0" applyFont="1" applyBorder="1" applyAlignment="1">
      <alignment horizontal="left" vertical="center" wrapText="1"/>
    </xf>
    <xf numFmtId="2" fontId="64" fillId="9" borderId="6" xfId="0" applyNumberFormat="1" applyFont="1" applyFill="1" applyBorder="1" applyAlignment="1">
      <alignment horizontal="center" vertical="center"/>
    </xf>
    <xf numFmtId="2" fontId="64" fillId="9" borderId="14" xfId="0" applyNumberFormat="1" applyFont="1" applyFill="1" applyBorder="1" applyAlignment="1">
      <alignment horizontal="center" vertical="center"/>
    </xf>
    <xf numFmtId="168" fontId="64" fillId="12" borderId="23" xfId="0" applyNumberFormat="1" applyFont="1" applyFill="1" applyBorder="1" applyAlignment="1">
      <alignment horizontal="right" vertical="center"/>
    </xf>
    <xf numFmtId="4" fontId="65" fillId="14" borderId="107" xfId="0" applyNumberFormat="1" applyFont="1" applyFill="1" applyBorder="1" applyAlignment="1">
      <alignment horizontal="right" vertical="center"/>
    </xf>
    <xf numFmtId="0" fontId="64" fillId="6" borderId="16" xfId="0" applyFont="1" applyFill="1" applyBorder="1" applyAlignment="1">
      <alignment horizontal="left" vertical="center" wrapText="1"/>
    </xf>
    <xf numFmtId="0" fontId="64" fillId="4" borderId="81" xfId="0" quotePrefix="1" applyFont="1" applyFill="1" applyBorder="1" applyAlignment="1">
      <alignment horizontal="left" vertical="center" wrapText="1"/>
    </xf>
    <xf numFmtId="0" fontId="64" fillId="19" borderId="17" xfId="0" quotePrefix="1" applyFont="1" applyFill="1" applyBorder="1" applyAlignment="1">
      <alignment horizontal="left" vertical="center" wrapText="1"/>
    </xf>
    <xf numFmtId="0" fontId="64" fillId="0" borderId="20" xfId="0" quotePrefix="1" applyFont="1" applyBorder="1" applyAlignment="1">
      <alignment horizontal="left" vertical="center" wrapText="1"/>
    </xf>
    <xf numFmtId="9" fontId="64" fillId="9" borderId="3" xfId="0" applyNumberFormat="1" applyFont="1" applyFill="1" applyBorder="1" applyAlignment="1">
      <alignment horizontal="center" vertical="center"/>
    </xf>
    <xf numFmtId="9" fontId="64" fillId="9" borderId="4" xfId="0" applyNumberFormat="1" applyFont="1" applyFill="1" applyBorder="1" applyAlignment="1">
      <alignment horizontal="center" vertical="center"/>
    </xf>
    <xf numFmtId="9" fontId="64" fillId="9" borderId="13" xfId="0" applyNumberFormat="1" applyFont="1" applyFill="1" applyBorder="1" applyAlignment="1">
      <alignment horizontal="center" vertical="center"/>
    </xf>
    <xf numFmtId="0" fontId="64" fillId="6" borderId="3" xfId="0" applyFont="1" applyFill="1" applyBorder="1" applyAlignment="1">
      <alignment horizontal="left" vertical="center" wrapText="1"/>
    </xf>
    <xf numFmtId="0" fontId="64" fillId="4" borderId="4" xfId="0" quotePrefix="1" applyFont="1" applyFill="1" applyBorder="1" applyAlignment="1">
      <alignment horizontal="left" vertical="center" wrapText="1"/>
    </xf>
    <xf numFmtId="0" fontId="64" fillId="19" borderId="5" xfId="0" quotePrefix="1" applyFont="1" applyFill="1" applyBorder="1" applyAlignment="1">
      <alignment horizontal="left" vertical="center" wrapText="1"/>
    </xf>
    <xf numFmtId="0" fontId="64" fillId="0" borderId="113" xfId="0" quotePrefix="1" applyFont="1" applyBorder="1" applyAlignment="1">
      <alignment horizontal="left" vertical="center" wrapText="1"/>
    </xf>
    <xf numFmtId="0" fontId="64" fillId="4" borderId="1" xfId="0" quotePrefix="1" applyFont="1" applyFill="1" applyBorder="1" applyAlignment="1">
      <alignment horizontal="left" vertical="center" wrapText="1"/>
    </xf>
    <xf numFmtId="0" fontId="64" fillId="19" borderId="12" xfId="0" quotePrefix="1" applyFont="1" applyFill="1" applyBorder="1" applyAlignment="1">
      <alignment horizontal="left" vertical="center" wrapText="1"/>
    </xf>
    <xf numFmtId="0" fontId="64" fillId="0" borderId="19" xfId="0" quotePrefix="1" applyFont="1" applyBorder="1" applyAlignment="1">
      <alignment horizontal="left" vertical="center" wrapText="1"/>
    </xf>
    <xf numFmtId="9" fontId="64" fillId="9" borderId="6" xfId="0" applyNumberFormat="1" applyFont="1" applyFill="1" applyBorder="1" applyAlignment="1">
      <alignment horizontal="center" vertical="center"/>
    </xf>
    <xf numFmtId="9" fontId="64" fillId="9" borderId="7" xfId="0" applyNumberFormat="1" applyFont="1" applyFill="1" applyBorder="1" applyAlignment="1">
      <alignment horizontal="center" vertical="center"/>
    </xf>
    <xf numFmtId="9" fontId="64" fillId="9" borderId="14" xfId="0" applyNumberFormat="1" applyFont="1" applyFill="1" applyBorder="1" applyAlignment="1">
      <alignment horizontal="center" vertical="center"/>
    </xf>
    <xf numFmtId="0" fontId="64" fillId="6" borderId="6" xfId="0" applyFont="1" applyFill="1" applyBorder="1" applyAlignment="1">
      <alignment horizontal="left" vertical="center" wrapText="1"/>
    </xf>
    <xf numFmtId="0" fontId="64" fillId="4" borderId="7" xfId="0" quotePrefix="1" applyFont="1" applyFill="1" applyBorder="1" applyAlignment="1">
      <alignment horizontal="left" vertical="center" wrapText="1"/>
    </xf>
    <xf numFmtId="0" fontId="64" fillId="19" borderId="8" xfId="0" quotePrefix="1" applyFont="1" applyFill="1" applyBorder="1" applyAlignment="1">
      <alignment horizontal="left" vertical="center"/>
    </xf>
    <xf numFmtId="0" fontId="64" fillId="6" borderId="91" xfId="0" quotePrefix="1" applyFont="1" applyFill="1" applyBorder="1" applyAlignment="1">
      <alignment horizontal="left" vertical="center" wrapText="1"/>
    </xf>
    <xf numFmtId="0" fontId="64" fillId="4" borderId="98" xfId="0" quotePrefix="1" applyFont="1" applyFill="1" applyBorder="1" applyAlignment="1">
      <alignment horizontal="left" vertical="center" wrapText="1"/>
    </xf>
    <xf numFmtId="0" fontId="64" fillId="19" borderId="78" xfId="0" quotePrefix="1" applyFont="1" applyFill="1" applyBorder="1" applyAlignment="1">
      <alignment horizontal="left" vertical="center" wrapText="1"/>
    </xf>
    <xf numFmtId="0" fontId="64" fillId="0" borderId="18" xfId="0" quotePrefix="1" applyFont="1" applyBorder="1" applyAlignment="1">
      <alignment horizontal="left" vertical="center" wrapText="1"/>
    </xf>
    <xf numFmtId="0" fontId="64" fillId="6" borderId="92" xfId="0" quotePrefix="1" applyFont="1" applyFill="1" applyBorder="1" applyAlignment="1">
      <alignment horizontal="left" vertical="center" wrapText="1"/>
    </xf>
    <xf numFmtId="0" fontId="64" fillId="19" borderId="8" xfId="0" quotePrefix="1" applyFont="1" applyFill="1" applyBorder="1" applyAlignment="1">
      <alignment horizontal="left" vertical="center" wrapText="1"/>
    </xf>
    <xf numFmtId="0" fontId="64" fillId="17" borderId="3" xfId="0" quotePrefix="1" applyFont="1" applyFill="1" applyBorder="1" applyAlignment="1">
      <alignment horizontal="left" vertical="center" wrapText="1"/>
    </xf>
    <xf numFmtId="9" fontId="64" fillId="9" borderId="38" xfId="0" applyNumberFormat="1" applyFont="1" applyFill="1" applyBorder="1" applyAlignment="1">
      <alignment horizontal="center" vertical="center"/>
    </xf>
    <xf numFmtId="9" fontId="64" fillId="9" borderId="35" xfId="0" applyNumberFormat="1" applyFont="1" applyFill="1" applyBorder="1" applyAlignment="1">
      <alignment horizontal="center" vertical="center"/>
    </xf>
    <xf numFmtId="9" fontId="64" fillId="9" borderId="34" xfId="0" applyNumberFormat="1" applyFont="1" applyFill="1" applyBorder="1" applyAlignment="1">
      <alignment horizontal="center" vertical="center"/>
    </xf>
    <xf numFmtId="0" fontId="64" fillId="17" borderId="6" xfId="0" quotePrefix="1" applyFont="1" applyFill="1" applyBorder="1" applyAlignment="1">
      <alignment horizontal="left" vertical="center" wrapText="1"/>
    </xf>
    <xf numFmtId="0" fontId="64" fillId="0" borderId="20" xfId="0" applyFont="1" applyBorder="1" applyAlignment="1">
      <alignment horizontal="left" vertical="center" wrapText="1"/>
    </xf>
    <xf numFmtId="0" fontId="64" fillId="4" borderId="71" xfId="0" applyFont="1" applyFill="1" applyBorder="1" applyAlignment="1">
      <alignment horizontal="left" vertical="center" wrapText="1"/>
    </xf>
    <xf numFmtId="4" fontId="65" fillId="14" borderId="6" xfId="0" applyNumberFormat="1" applyFont="1" applyFill="1" applyBorder="1" applyAlignment="1">
      <alignment horizontal="right" vertical="center" wrapText="1"/>
    </xf>
    <xf numFmtId="0" fontId="64" fillId="6" borderId="38" xfId="0" quotePrefix="1" applyFont="1" applyFill="1" applyBorder="1" applyAlignment="1">
      <alignment horizontal="left" vertical="center" wrapText="1"/>
    </xf>
    <xf numFmtId="0" fontId="64" fillId="4" borderId="73" xfId="0" applyFont="1" applyFill="1" applyBorder="1" applyAlignment="1">
      <alignment horizontal="left" vertical="center" wrapText="1"/>
    </xf>
    <xf numFmtId="4" fontId="65" fillId="14" borderId="41" xfId="0" applyNumberFormat="1" applyFont="1" applyFill="1" applyBorder="1" applyAlignment="1">
      <alignment horizontal="right" vertical="center"/>
    </xf>
    <xf numFmtId="4" fontId="64" fillId="0" borderId="71" xfId="0" applyNumberFormat="1" applyFont="1" applyBorder="1" applyAlignment="1">
      <alignment horizontal="center" vertical="center"/>
    </xf>
    <xf numFmtId="0" fontId="64" fillId="4" borderId="82" xfId="0" quotePrefix="1" applyFont="1" applyFill="1" applyBorder="1" applyAlignment="1">
      <alignment horizontal="left" vertical="center" wrapText="1"/>
    </xf>
    <xf numFmtId="0" fontId="64" fillId="0" borderId="111" xfId="0" applyFont="1" applyBorder="1" applyAlignment="1">
      <alignment horizontal="left" vertical="center" wrapText="1"/>
    </xf>
    <xf numFmtId="0" fontId="64" fillId="0" borderId="16" xfId="0" applyFont="1" applyBorder="1" applyAlignment="1">
      <alignment horizontal="left" vertical="center" wrapText="1"/>
    </xf>
    <xf numFmtId="0" fontId="64" fillId="0" borderId="31" xfId="0" applyFont="1" applyBorder="1" applyAlignment="1">
      <alignment horizontal="center" vertical="center" wrapText="1"/>
    </xf>
    <xf numFmtId="0" fontId="64" fillId="0" borderId="86" xfId="0" applyFont="1" applyBorder="1" applyAlignment="1">
      <alignment horizontal="left" vertical="center" wrapText="1"/>
    </xf>
    <xf numFmtId="2" fontId="64" fillId="9" borderId="16" xfId="0" applyNumberFormat="1" applyFont="1" applyFill="1" applyBorder="1" applyAlignment="1">
      <alignment horizontal="center" vertical="center"/>
    </xf>
    <xf numFmtId="2" fontId="64" fillId="9" borderId="17" xfId="0" applyNumberFormat="1" applyFont="1" applyFill="1" applyBorder="1" applyAlignment="1">
      <alignment horizontal="center" vertical="center"/>
    </xf>
    <xf numFmtId="9" fontId="64" fillId="9" borderId="16" xfId="0" applyNumberFormat="1" applyFont="1" applyFill="1" applyBorder="1" applyAlignment="1">
      <alignment horizontal="center" vertical="center"/>
    </xf>
    <xf numFmtId="9" fontId="64" fillId="9" borderId="31" xfId="0" applyNumberFormat="1" applyFont="1" applyFill="1" applyBorder="1" applyAlignment="1">
      <alignment horizontal="center" vertical="center"/>
    </xf>
    <xf numFmtId="9" fontId="64" fillId="9" borderId="17" xfId="0" applyNumberFormat="1" applyFont="1" applyFill="1" applyBorder="1" applyAlignment="1">
      <alignment horizontal="center" vertical="center"/>
    </xf>
    <xf numFmtId="9" fontId="64" fillId="9" borderId="87" xfId="0" applyNumberFormat="1" applyFont="1" applyFill="1" applyBorder="1" applyAlignment="1">
      <alignment horizontal="center" vertical="center"/>
    </xf>
    <xf numFmtId="9" fontId="64" fillId="9" borderId="82" xfId="0" applyNumberFormat="1" applyFont="1" applyFill="1" applyBorder="1" applyAlignment="1">
      <alignment horizontal="center" vertical="center"/>
    </xf>
    <xf numFmtId="9" fontId="64" fillId="9" borderId="88" xfId="0" applyNumberFormat="1" applyFont="1" applyFill="1" applyBorder="1" applyAlignment="1">
      <alignment horizontal="center" vertical="center"/>
    </xf>
    <xf numFmtId="4" fontId="65" fillId="14" borderId="16" xfId="0" applyNumberFormat="1" applyFont="1" applyFill="1" applyBorder="1" applyAlignment="1">
      <alignment horizontal="right" vertical="center"/>
    </xf>
    <xf numFmtId="4" fontId="64" fillId="0" borderId="81" xfId="0" applyNumberFormat="1" applyFont="1" applyBorder="1" applyAlignment="1">
      <alignment horizontal="center" vertical="center"/>
    </xf>
    <xf numFmtId="0" fontId="66" fillId="6" borderId="16" xfId="0" applyFont="1" applyFill="1" applyBorder="1" applyAlignment="1">
      <alignment horizontal="left" vertical="center" wrapText="1"/>
    </xf>
    <xf numFmtId="0" fontId="64" fillId="4" borderId="31" xfId="0" quotePrefix="1" applyFont="1" applyFill="1" applyBorder="1" applyAlignment="1">
      <alignment horizontal="left" vertical="center" wrapText="1"/>
    </xf>
    <xf numFmtId="0" fontId="64" fillId="19" borderId="86" xfId="0" quotePrefix="1" applyFont="1" applyFill="1" applyBorder="1" applyAlignment="1">
      <alignment horizontal="left" vertical="center" wrapText="1"/>
    </xf>
    <xf numFmtId="2" fontId="64" fillId="9" borderId="37" xfId="0" applyNumberFormat="1" applyFont="1" applyFill="1" applyBorder="1" applyAlignment="1">
      <alignment horizontal="center" vertical="center"/>
    </xf>
    <xf numFmtId="168" fontId="64" fillId="12" borderId="24" xfId="0" applyNumberFormat="1" applyFont="1" applyFill="1" applyBorder="1" applyAlignment="1">
      <alignment horizontal="right" vertical="center"/>
    </xf>
    <xf numFmtId="9" fontId="64" fillId="9" borderId="26" xfId="0" applyNumberFormat="1" applyFont="1" applyFill="1" applyBorder="1" applyAlignment="1">
      <alignment horizontal="center" vertical="center"/>
    </xf>
    <xf numFmtId="9" fontId="64" fillId="9" borderId="80" xfId="0" applyNumberFormat="1" applyFont="1" applyFill="1" applyBorder="1" applyAlignment="1">
      <alignment horizontal="center" vertical="center"/>
    </xf>
    <xf numFmtId="9" fontId="64" fillId="9" borderId="37" xfId="0" applyNumberFormat="1" applyFont="1" applyFill="1" applyBorder="1" applyAlignment="1">
      <alignment horizontal="center" vertical="center"/>
    </xf>
    <xf numFmtId="4" fontId="65" fillId="14" borderId="3" xfId="0" applyNumberFormat="1" applyFont="1" applyFill="1" applyBorder="1" applyAlignment="1">
      <alignment horizontal="right" vertical="center" wrapText="1"/>
    </xf>
    <xf numFmtId="4" fontId="65" fillId="14" borderId="25" xfId="0" applyNumberFormat="1" applyFont="1" applyFill="1" applyBorder="1" applyAlignment="1">
      <alignment horizontal="right" vertical="center"/>
    </xf>
    <xf numFmtId="4" fontId="65" fillId="14" borderId="105" xfId="0" applyNumberFormat="1" applyFont="1" applyFill="1" applyBorder="1" applyAlignment="1">
      <alignment horizontal="right" vertical="center"/>
    </xf>
    <xf numFmtId="4" fontId="65" fillId="14" borderId="42" xfId="0" applyNumberFormat="1" applyFont="1" applyFill="1" applyBorder="1" applyAlignment="1">
      <alignment horizontal="right" vertical="center"/>
    </xf>
    <xf numFmtId="4" fontId="64" fillId="0" borderId="24" xfId="0" applyNumberFormat="1" applyFont="1" applyBorder="1" applyAlignment="1">
      <alignment horizontal="center" vertical="center"/>
    </xf>
    <xf numFmtId="0" fontId="66" fillId="17" borderId="26" xfId="0" applyFont="1" applyFill="1" applyBorder="1" applyAlignment="1">
      <alignment horizontal="left" vertical="center" wrapText="1"/>
    </xf>
    <xf numFmtId="0" fontId="64" fillId="4" borderId="80" xfId="0" applyFont="1" applyFill="1" applyBorder="1" applyAlignment="1">
      <alignment horizontal="left" vertical="center"/>
    </xf>
    <xf numFmtId="0" fontId="64" fillId="19" borderId="27" xfId="0" quotePrefix="1" applyFont="1" applyFill="1" applyBorder="1" applyAlignment="1">
      <alignment horizontal="left" vertical="center"/>
    </xf>
    <xf numFmtId="0" fontId="68" fillId="0" borderId="0" xfId="0" applyFont="1" applyAlignment="1">
      <alignment horizontal="left" vertical="center"/>
    </xf>
    <xf numFmtId="0" fontId="68" fillId="0" borderId="0" xfId="0" applyFont="1" applyAlignment="1">
      <alignment horizontal="center" vertical="center"/>
    </xf>
    <xf numFmtId="168" fontId="69" fillId="2" borderId="2" xfId="0" applyNumberFormat="1" applyFont="1" applyFill="1" applyBorder="1" applyAlignment="1">
      <alignment horizontal="right" vertical="center"/>
    </xf>
    <xf numFmtId="4" fontId="69" fillId="16" borderId="26" xfId="0" applyNumberFormat="1" applyFont="1" applyFill="1" applyBorder="1" applyAlignment="1">
      <alignment horizontal="right" vertical="center"/>
    </xf>
    <xf numFmtId="4" fontId="69" fillId="16" borderId="25" xfId="0" applyNumberFormat="1" applyFont="1" applyFill="1" applyBorder="1" applyAlignment="1">
      <alignment horizontal="right" vertical="center"/>
    </xf>
    <xf numFmtId="4" fontId="69" fillId="16" borderId="105" xfId="0" applyNumberFormat="1" applyFont="1" applyFill="1" applyBorder="1" applyAlignment="1">
      <alignment horizontal="right" vertical="center"/>
    </xf>
    <xf numFmtId="4" fontId="69" fillId="16" borderId="42" xfId="0" applyNumberFormat="1" applyFont="1" applyFill="1" applyBorder="1" applyAlignment="1">
      <alignment horizontal="right" vertical="center"/>
    </xf>
    <xf numFmtId="0" fontId="68" fillId="0" borderId="97" xfId="0" applyFont="1" applyBorder="1" applyAlignment="1">
      <alignment horizontal="center" vertical="center"/>
    </xf>
    <xf numFmtId="0" fontId="59" fillId="0" borderId="0" xfId="0" applyFont="1" applyAlignment="1">
      <alignment horizontal="left" vertical="center"/>
    </xf>
    <xf numFmtId="4" fontId="59" fillId="0" borderId="0" xfId="0" applyNumberFormat="1" applyFont="1" applyAlignment="1">
      <alignment horizontal="right" vertical="center"/>
    </xf>
    <xf numFmtId="4" fontId="64" fillId="0" borderId="0" xfId="0" applyNumberFormat="1" applyFont="1" applyAlignment="1">
      <alignment horizontal="right" vertical="center"/>
    </xf>
    <xf numFmtId="0" fontId="65" fillId="0" borderId="0" xfId="0" applyFont="1" applyAlignment="1">
      <alignment horizontal="center" vertical="center"/>
    </xf>
    <xf numFmtId="0" fontId="72" fillId="0" borderId="0" xfId="0" applyFont="1" applyAlignment="1">
      <alignment vertical="center" wrapText="1"/>
    </xf>
    <xf numFmtId="164" fontId="73" fillId="0" borderId="0" xfId="0" applyNumberFormat="1" applyFont="1" applyAlignment="1">
      <alignment vertical="center"/>
    </xf>
    <xf numFmtId="164" fontId="73" fillId="0" borderId="0" xfId="0" applyNumberFormat="1" applyFont="1" applyAlignment="1">
      <alignment horizontal="center" vertical="center"/>
    </xf>
    <xf numFmtId="164" fontId="69" fillId="0" borderId="0" xfId="0" applyNumberFormat="1" applyFont="1" applyAlignment="1">
      <alignment vertical="center"/>
    </xf>
    <xf numFmtId="4" fontId="59" fillId="0" borderId="0" xfId="0" applyNumberFormat="1" applyFont="1" applyAlignment="1">
      <alignment horizontal="center" vertical="center"/>
    </xf>
    <xf numFmtId="0" fontId="59" fillId="10" borderId="97" xfId="0" applyFont="1" applyFill="1" applyBorder="1" applyAlignment="1">
      <alignment horizontal="center" vertical="center"/>
    </xf>
    <xf numFmtId="0" fontId="59" fillId="10" borderId="98" xfId="0" applyFont="1" applyFill="1" applyBorder="1" applyAlignment="1">
      <alignment horizontal="center" vertical="center"/>
    </xf>
    <xf numFmtId="0" fontId="59" fillId="10" borderId="99" xfId="0" applyFont="1" applyFill="1" applyBorder="1" applyAlignment="1">
      <alignment horizontal="center" vertical="center"/>
    </xf>
    <xf numFmtId="0" fontId="74" fillId="0" borderId="0" xfId="0" applyFont="1" applyAlignment="1">
      <alignment horizontal="right" vertical="center"/>
    </xf>
    <xf numFmtId="0" fontId="59" fillId="10" borderId="96" xfId="0" applyFont="1" applyFill="1" applyBorder="1" applyAlignment="1">
      <alignment horizontal="center" vertical="center"/>
    </xf>
    <xf numFmtId="0" fontId="59" fillId="9" borderId="2" xfId="0" applyFont="1" applyFill="1" applyBorder="1" applyAlignment="1">
      <alignment horizontal="center" vertical="center"/>
    </xf>
    <xf numFmtId="0" fontId="74" fillId="10" borderId="0" xfId="0" applyFont="1" applyFill="1" applyAlignment="1">
      <alignment horizontal="left" vertical="center"/>
    </xf>
    <xf numFmtId="0" fontId="59" fillId="10" borderId="0" xfId="0" applyFont="1" applyFill="1" applyAlignment="1">
      <alignment horizontal="center" vertical="center"/>
    </xf>
    <xf numFmtId="0" fontId="59" fillId="10" borderId="100" xfId="0" applyFont="1" applyFill="1" applyBorder="1" applyAlignment="1">
      <alignment horizontal="center" vertical="center"/>
    </xf>
    <xf numFmtId="0" fontId="74" fillId="10" borderId="0" xfId="0" applyFont="1" applyFill="1" applyAlignment="1">
      <alignment horizontal="center" vertical="center"/>
    </xf>
    <xf numFmtId="0" fontId="59" fillId="4" borderId="2" xfId="0" applyFont="1" applyFill="1" applyBorder="1" applyAlignment="1">
      <alignment horizontal="center" vertical="center"/>
    </xf>
    <xf numFmtId="0" fontId="74" fillId="10" borderId="0" xfId="0" quotePrefix="1" applyFont="1" applyFill="1" applyAlignment="1">
      <alignment horizontal="left" vertical="center"/>
    </xf>
    <xf numFmtId="0" fontId="59" fillId="6" borderId="2" xfId="0" applyFont="1" applyFill="1" applyBorder="1" applyAlignment="1">
      <alignment horizontal="center" vertical="center"/>
    </xf>
    <xf numFmtId="0" fontId="59" fillId="14" borderId="2" xfId="0" applyFont="1" applyFill="1" applyBorder="1" applyAlignment="1">
      <alignment horizontal="center" vertical="center"/>
    </xf>
    <xf numFmtId="0" fontId="65" fillId="10" borderId="0" xfId="0" quotePrefix="1" applyFont="1" applyFill="1" applyAlignment="1">
      <alignment horizontal="left" vertical="center"/>
    </xf>
    <xf numFmtId="0" fontId="59" fillId="10" borderId="74" xfId="0" applyFont="1" applyFill="1" applyBorder="1" applyAlignment="1">
      <alignment horizontal="center" vertical="center"/>
    </xf>
    <xf numFmtId="0" fontId="59" fillId="19" borderId="2" xfId="0" applyFont="1" applyFill="1" applyBorder="1" applyAlignment="1">
      <alignment horizontal="center" vertical="center"/>
    </xf>
    <xf numFmtId="0" fontId="59" fillId="12" borderId="2" xfId="0" applyFont="1" applyFill="1" applyBorder="1" applyAlignment="1">
      <alignment horizontal="center" vertical="center"/>
    </xf>
    <xf numFmtId="0" fontId="59" fillId="10" borderId="39" xfId="0" applyFont="1" applyFill="1" applyBorder="1" applyAlignment="1">
      <alignment horizontal="center" vertical="center"/>
    </xf>
    <xf numFmtId="0" fontId="59" fillId="10" borderId="40" xfId="0" applyFont="1" applyFill="1" applyBorder="1" applyAlignment="1">
      <alignment horizontal="center" vertical="center"/>
    </xf>
    <xf numFmtId="0" fontId="58" fillId="2" borderId="43" xfId="0" applyFont="1" applyFill="1" applyBorder="1" applyAlignment="1">
      <alignment horizontal="center" vertical="center" wrapText="1"/>
    </xf>
    <xf numFmtId="0" fontId="58" fillId="2" borderId="46" xfId="0" applyFont="1" applyFill="1" applyBorder="1" applyAlignment="1">
      <alignment horizontal="center" vertical="center"/>
    </xf>
    <xf numFmtId="9" fontId="70" fillId="16" borderId="24" xfId="0" applyNumberFormat="1" applyFont="1" applyFill="1" applyBorder="1" applyAlignment="1">
      <alignment horizontal="center" vertical="center"/>
    </xf>
    <xf numFmtId="9" fontId="70" fillId="16" borderId="42" xfId="0" applyNumberFormat="1" applyFont="1" applyFill="1" applyBorder="1" applyAlignment="1">
      <alignment horizontal="center" vertical="center"/>
    </xf>
    <xf numFmtId="9" fontId="70" fillId="16" borderId="25" xfId="0" applyNumberFormat="1" applyFont="1" applyFill="1" applyBorder="1" applyAlignment="1">
      <alignment horizontal="center" vertical="center"/>
    </xf>
    <xf numFmtId="0" fontId="50" fillId="18" borderId="24" xfId="0" applyFont="1" applyFill="1" applyBorder="1" applyAlignment="1">
      <alignment horizontal="center" vertical="center"/>
    </xf>
    <xf numFmtId="0" fontId="50" fillId="18" borderId="42" xfId="0" applyFont="1" applyFill="1" applyBorder="1" applyAlignment="1">
      <alignment horizontal="center" vertical="center"/>
    </xf>
    <xf numFmtId="0" fontId="50" fillId="18" borderId="25" xfId="0" applyFont="1" applyFill="1" applyBorder="1" applyAlignment="1">
      <alignment horizontal="center" vertical="center"/>
    </xf>
    <xf numFmtId="0" fontId="52" fillId="2" borderId="3" xfId="0" applyFont="1" applyFill="1" applyBorder="1" applyAlignment="1">
      <alignment horizontal="center" textRotation="90"/>
    </xf>
    <xf numFmtId="0" fontId="52" fillId="2" borderId="16" xfId="0" applyFont="1" applyFill="1" applyBorder="1" applyAlignment="1">
      <alignment horizontal="center" textRotation="90"/>
    </xf>
    <xf numFmtId="0" fontId="52" fillId="2" borderId="13" xfId="0" applyFont="1" applyFill="1" applyBorder="1" applyAlignment="1">
      <alignment horizontal="center" textRotation="90" wrapText="1"/>
    </xf>
    <xf numFmtId="0" fontId="52" fillId="2" borderId="17" xfId="0" applyFont="1" applyFill="1" applyBorder="1" applyAlignment="1">
      <alignment horizontal="center" textRotation="90"/>
    </xf>
    <xf numFmtId="0" fontId="52" fillId="2" borderId="18" xfId="0" applyFont="1" applyFill="1" applyBorder="1" applyAlignment="1">
      <alignment horizontal="center" textRotation="90" wrapText="1"/>
    </xf>
    <xf numFmtId="0" fontId="52" fillId="2" borderId="20" xfId="0" applyFont="1" applyFill="1" applyBorder="1" applyAlignment="1">
      <alignment horizontal="center" textRotation="90"/>
    </xf>
    <xf numFmtId="0" fontId="53" fillId="15" borderId="3" xfId="0" applyFont="1" applyFill="1" applyBorder="1" applyAlignment="1">
      <alignment horizontal="center" vertical="center" wrapText="1"/>
    </xf>
    <xf numFmtId="0" fontId="53" fillId="15" borderId="4" xfId="0" applyFont="1" applyFill="1" applyBorder="1" applyAlignment="1">
      <alignment horizontal="center" vertical="center"/>
    </xf>
    <xf numFmtId="0" fontId="53" fillId="15" borderId="13" xfId="0" applyFont="1" applyFill="1" applyBorder="1" applyAlignment="1">
      <alignment horizontal="center" vertical="center"/>
    </xf>
    <xf numFmtId="0" fontId="71" fillId="2" borderId="24" xfId="0" applyFont="1" applyFill="1" applyBorder="1" applyAlignment="1">
      <alignment horizontal="center" vertical="center"/>
    </xf>
    <xf numFmtId="0" fontId="71" fillId="2" borderId="42" xfId="0" applyFont="1" applyFill="1" applyBorder="1" applyAlignment="1">
      <alignment horizontal="center" vertical="center"/>
    </xf>
    <xf numFmtId="0" fontId="71" fillId="2" borderId="25" xfId="0" applyFont="1" applyFill="1" applyBorder="1" applyAlignment="1">
      <alignment horizontal="center" vertical="center"/>
    </xf>
    <xf numFmtId="0" fontId="54" fillId="15" borderId="21" xfId="0" applyFont="1" applyFill="1" applyBorder="1" applyAlignment="1">
      <alignment horizontal="center" vertical="center" wrapText="1"/>
    </xf>
    <xf numFmtId="0" fontId="54" fillId="15" borderId="90" xfId="0" applyFont="1" applyFill="1" applyBorder="1" applyAlignment="1">
      <alignment horizontal="center" vertical="center" wrapText="1"/>
    </xf>
    <xf numFmtId="0" fontId="52" fillId="2" borderId="21" xfId="0" applyFont="1" applyFill="1" applyBorder="1" applyAlignment="1">
      <alignment horizontal="center" textRotation="90"/>
    </xf>
    <xf numFmtId="0" fontId="52" fillId="2" borderId="23" xfId="0" applyFont="1" applyFill="1" applyBorder="1" applyAlignment="1">
      <alignment horizontal="center" textRotation="90"/>
    </xf>
    <xf numFmtId="0" fontId="56" fillId="15" borderId="21" xfId="0" applyFont="1" applyFill="1" applyBorder="1" applyAlignment="1">
      <alignment horizontal="center" vertical="center" wrapText="1"/>
    </xf>
    <xf numFmtId="0" fontId="56" fillId="15" borderId="71" xfId="0" applyFont="1" applyFill="1" applyBorder="1" applyAlignment="1">
      <alignment horizontal="center" vertical="center" wrapText="1"/>
    </xf>
    <xf numFmtId="0" fontId="41" fillId="0" borderId="0" xfId="0" applyFont="1" applyAlignment="1">
      <alignment horizontal="left" vertical="center" wrapText="1"/>
    </xf>
    <xf numFmtId="0" fontId="41" fillId="0" borderId="0" xfId="0" applyFont="1" applyAlignment="1">
      <alignment vertical="center" wrapText="1"/>
    </xf>
    <xf numFmtId="0" fontId="44" fillId="0" borderId="0" xfId="0" applyFont="1" applyAlignment="1">
      <alignment vertical="center" wrapText="1"/>
    </xf>
    <xf numFmtId="0" fontId="46" fillId="0" borderId="0" xfId="0" applyFont="1" applyAlignment="1">
      <alignment vertical="center" wrapText="1"/>
    </xf>
    <xf numFmtId="0" fontId="49" fillId="0" borderId="0" xfId="0" applyFont="1" applyAlignment="1">
      <alignment vertical="center" wrapText="1"/>
    </xf>
    <xf numFmtId="0" fontId="43" fillId="20" borderId="0" xfId="0" applyFont="1" applyFill="1" applyAlignment="1">
      <alignment horizontal="left" vertical="center" wrapText="1"/>
    </xf>
    <xf numFmtId="0" fontId="40" fillId="0" borderId="0" xfId="0" applyFont="1" applyAlignment="1">
      <alignment horizontal="center" vertical="center" wrapText="1"/>
    </xf>
    <xf numFmtId="0" fontId="13" fillId="2" borderId="43" xfId="0" applyFont="1" applyFill="1" applyBorder="1" applyAlignment="1">
      <alignment horizontal="center" vertical="center" wrapText="1"/>
    </xf>
    <xf numFmtId="0" fontId="13" fillId="2" borderId="46" xfId="0" applyFont="1" applyFill="1" applyBorder="1" applyAlignment="1">
      <alignment horizontal="center" vertical="center"/>
    </xf>
    <xf numFmtId="9" fontId="18" fillId="16" borderId="24" xfId="0" applyNumberFormat="1" applyFont="1" applyFill="1" applyBorder="1" applyAlignment="1">
      <alignment horizontal="center" vertical="center"/>
    </xf>
    <xf numFmtId="9" fontId="18" fillId="16" borderId="42" xfId="0" applyNumberFormat="1" applyFont="1" applyFill="1" applyBorder="1" applyAlignment="1">
      <alignment horizontal="center" vertical="center"/>
    </xf>
    <xf numFmtId="9" fontId="18" fillId="16" borderId="25" xfId="0" applyNumberFormat="1" applyFont="1" applyFill="1" applyBorder="1" applyAlignment="1">
      <alignment horizontal="center" vertical="center"/>
    </xf>
    <xf numFmtId="0" fontId="36" fillId="18" borderId="24" xfId="0" applyFont="1" applyFill="1" applyBorder="1" applyAlignment="1">
      <alignment horizontal="center" vertical="center"/>
    </xf>
    <xf numFmtId="0" fontId="36" fillId="18" borderId="42" xfId="0" applyFont="1" applyFill="1" applyBorder="1" applyAlignment="1">
      <alignment horizontal="center" vertical="center"/>
    </xf>
    <xf numFmtId="0" fontId="36" fillId="18" borderId="25" xfId="0" applyFont="1" applyFill="1" applyBorder="1" applyAlignment="1">
      <alignment horizontal="center" vertical="center"/>
    </xf>
    <xf numFmtId="0" fontId="11" fillId="2" borderId="3" xfId="0" applyFont="1" applyFill="1" applyBorder="1" applyAlignment="1">
      <alignment horizontal="center" textRotation="90"/>
    </xf>
    <xf numFmtId="0" fontId="11" fillId="2" borderId="16" xfId="0" applyFont="1" applyFill="1" applyBorder="1" applyAlignment="1">
      <alignment horizontal="center" textRotation="90"/>
    </xf>
    <xf numFmtId="0" fontId="11" fillId="2" borderId="13" xfId="0" applyFont="1" applyFill="1" applyBorder="1" applyAlignment="1">
      <alignment horizontal="center" textRotation="90" wrapText="1"/>
    </xf>
    <xf numFmtId="0" fontId="11" fillId="2" borderId="17" xfId="0" applyFont="1" applyFill="1" applyBorder="1" applyAlignment="1">
      <alignment horizontal="center" textRotation="90"/>
    </xf>
    <xf numFmtId="0" fontId="11" fillId="2" borderId="18" xfId="0" applyFont="1" applyFill="1" applyBorder="1" applyAlignment="1">
      <alignment horizontal="center" textRotation="90" wrapText="1"/>
    </xf>
    <xf numFmtId="0" fontId="11" fillId="2" borderId="20" xfId="0" applyFont="1" applyFill="1" applyBorder="1" applyAlignment="1">
      <alignment horizontal="center" textRotation="90"/>
    </xf>
    <xf numFmtId="0" fontId="35" fillId="15" borderId="3" xfId="0" applyFont="1" applyFill="1" applyBorder="1" applyAlignment="1">
      <alignment horizontal="center" vertical="center" wrapText="1"/>
    </xf>
    <xf numFmtId="0" fontId="35" fillId="15" borderId="4" xfId="0" applyFont="1" applyFill="1" applyBorder="1" applyAlignment="1">
      <alignment horizontal="center" vertical="center"/>
    </xf>
    <xf numFmtId="0" fontId="35" fillId="15" borderId="13" xfId="0" applyFont="1" applyFill="1" applyBorder="1" applyAlignment="1">
      <alignment horizontal="center" vertical="center"/>
    </xf>
    <xf numFmtId="0" fontId="22" fillId="2" borderId="24" xfId="0" applyFont="1" applyFill="1" applyBorder="1" applyAlignment="1">
      <alignment horizontal="center" vertical="center"/>
    </xf>
    <xf numFmtId="0" fontId="22" fillId="2" borderId="42" xfId="0" applyFont="1" applyFill="1" applyBorder="1" applyAlignment="1">
      <alignment horizontal="center" vertical="center"/>
    </xf>
    <xf numFmtId="0" fontId="22" fillId="2" borderId="25" xfId="0" applyFont="1" applyFill="1" applyBorder="1" applyAlignment="1">
      <alignment horizontal="center" vertical="center"/>
    </xf>
    <xf numFmtId="0" fontId="33" fillId="15" borderId="21" xfId="0" applyFont="1" applyFill="1" applyBorder="1" applyAlignment="1">
      <alignment horizontal="center" vertical="center" wrapText="1"/>
    </xf>
    <xf numFmtId="0" fontId="33" fillId="15" borderId="90" xfId="0" applyFont="1" applyFill="1" applyBorder="1" applyAlignment="1">
      <alignment horizontal="center" vertical="center" wrapText="1"/>
    </xf>
    <xf numFmtId="0" fontId="11" fillId="2" borderId="21" xfId="0" applyFont="1" applyFill="1" applyBorder="1" applyAlignment="1">
      <alignment horizontal="center" textRotation="90"/>
    </xf>
    <xf numFmtId="0" fontId="11" fillId="2" borderId="23" xfId="0" applyFont="1" applyFill="1" applyBorder="1" applyAlignment="1">
      <alignment horizontal="center" textRotation="90"/>
    </xf>
    <xf numFmtId="0" fontId="29" fillId="15" borderId="21" xfId="0" applyFont="1" applyFill="1" applyBorder="1" applyAlignment="1">
      <alignment horizontal="center" vertical="center" wrapText="1"/>
    </xf>
    <xf numFmtId="0" fontId="29" fillId="15" borderId="71" xfId="0" applyFont="1" applyFill="1" applyBorder="1" applyAlignment="1">
      <alignment horizontal="center" vertical="center" wrapText="1"/>
    </xf>
    <xf numFmtId="164" fontId="7" fillId="14" borderId="28" xfId="0" applyNumberFormat="1" applyFont="1" applyFill="1" applyBorder="1" applyAlignment="1">
      <alignment horizontal="center" vertical="center"/>
    </xf>
    <xf numFmtId="164" fontId="7" fillId="14" borderId="38" xfId="0" applyNumberFormat="1" applyFont="1" applyFill="1" applyBorder="1" applyAlignment="1">
      <alignment horizontal="center" vertical="center"/>
    </xf>
    <xf numFmtId="164" fontId="20" fillId="2" borderId="42" xfId="0" applyNumberFormat="1" applyFont="1" applyFill="1" applyBorder="1" applyAlignment="1">
      <alignment horizontal="center" vertical="center"/>
    </xf>
    <xf numFmtId="164" fontId="20" fillId="2" borderId="25" xfId="0" applyNumberFormat="1" applyFont="1" applyFill="1" applyBorder="1" applyAlignment="1">
      <alignment horizontal="center" vertical="center"/>
    </xf>
    <xf numFmtId="164" fontId="7" fillId="14" borderId="28" xfId="0" applyNumberFormat="1" applyFont="1" applyFill="1" applyBorder="1" applyAlignment="1">
      <alignment horizontal="right" vertical="center"/>
    </xf>
    <xf numFmtId="164" fontId="7" fillId="14" borderId="38" xfId="0" applyNumberFormat="1" applyFont="1" applyFill="1" applyBorder="1" applyAlignment="1">
      <alignment horizontal="right" vertical="center"/>
    </xf>
    <xf numFmtId="9" fontId="18" fillId="0" borderId="24" xfId="0" applyNumberFormat="1" applyFont="1" applyBorder="1" applyAlignment="1">
      <alignment horizontal="center" vertical="center"/>
    </xf>
    <xf numFmtId="0" fontId="18" fillId="0" borderId="42" xfId="0" applyFont="1" applyBorder="1" applyAlignment="1">
      <alignment horizontal="center" vertical="center"/>
    </xf>
    <xf numFmtId="0" fontId="18" fillId="0" borderId="25" xfId="0" applyFont="1" applyBorder="1" applyAlignment="1">
      <alignment horizontal="center" vertical="center"/>
    </xf>
    <xf numFmtId="167" fontId="7" fillId="14" borderId="28" xfId="0" applyNumberFormat="1" applyFont="1" applyFill="1" applyBorder="1" applyAlignment="1">
      <alignment horizontal="right" vertical="center"/>
    </xf>
    <xf numFmtId="167" fontId="7" fillId="14" borderId="38" xfId="0" applyNumberFormat="1" applyFont="1" applyFill="1" applyBorder="1" applyAlignment="1">
      <alignment horizontal="right" vertical="center"/>
    </xf>
    <xf numFmtId="164" fontId="7" fillId="14" borderId="87" xfId="0" applyNumberFormat="1" applyFont="1" applyFill="1" applyBorder="1" applyAlignment="1">
      <alignment horizontal="right" vertical="center"/>
    </xf>
    <xf numFmtId="164" fontId="7" fillId="14" borderId="87" xfId="0" applyNumberFormat="1" applyFont="1" applyFill="1" applyBorder="1" applyAlignment="1">
      <alignment horizontal="center" vertical="center"/>
    </xf>
    <xf numFmtId="0" fontId="23" fillId="3" borderId="24" xfId="0" applyFont="1" applyFill="1" applyBorder="1" applyAlignment="1">
      <alignment horizontal="center" vertical="center"/>
    </xf>
    <xf numFmtId="0" fontId="23" fillId="3" borderId="42" xfId="0" applyFont="1" applyFill="1" applyBorder="1" applyAlignment="1">
      <alignment horizontal="center" vertical="center"/>
    </xf>
    <xf numFmtId="0" fontId="23" fillId="3" borderId="25" xfId="0" applyFont="1" applyFill="1" applyBorder="1" applyAlignment="1">
      <alignment horizontal="center" vertical="center"/>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xf>
    <xf numFmtId="0" fontId="11" fillId="2" borderId="13" xfId="0" applyFont="1" applyFill="1" applyBorder="1" applyAlignment="1">
      <alignment horizontal="center" vertical="center"/>
    </xf>
    <xf numFmtId="0" fontId="29" fillId="15" borderId="90" xfId="0" applyFont="1" applyFill="1" applyBorder="1" applyAlignment="1">
      <alignment horizontal="center" vertical="center" wrapText="1"/>
    </xf>
    <xf numFmtId="0" fontId="31" fillId="2" borderId="23" xfId="0" applyFont="1" applyFill="1" applyBorder="1" applyAlignment="1">
      <alignment horizontal="center" wrapText="1"/>
    </xf>
    <xf numFmtId="0" fontId="31" fillId="2" borderId="10" xfId="0" applyFont="1" applyFill="1" applyBorder="1" applyAlignment="1">
      <alignment horizontal="center" wrapText="1"/>
    </xf>
    <xf numFmtId="167" fontId="7" fillId="14" borderId="87" xfId="0" applyNumberFormat="1" applyFont="1" applyFill="1" applyBorder="1" applyAlignment="1">
      <alignment horizontal="right" vertical="center"/>
    </xf>
    <xf numFmtId="164" fontId="7" fillId="11" borderId="28" xfId="0" applyNumberFormat="1" applyFont="1" applyFill="1" applyBorder="1" applyAlignment="1">
      <alignment horizontal="right" vertical="center"/>
    </xf>
    <xf numFmtId="164" fontId="7" fillId="11" borderId="38" xfId="0" applyNumberFormat="1" applyFont="1" applyFill="1" applyBorder="1" applyAlignment="1">
      <alignment horizontal="right" vertical="center"/>
    </xf>
    <xf numFmtId="164" fontId="7" fillId="11" borderId="87" xfId="0" applyNumberFormat="1" applyFont="1" applyFill="1" applyBorder="1" applyAlignment="1">
      <alignment horizontal="right" vertical="center"/>
    </xf>
    <xf numFmtId="0" fontId="21" fillId="2" borderId="24" xfId="0" applyFont="1" applyFill="1" applyBorder="1" applyAlignment="1">
      <alignment horizontal="right" vertical="center" wrapText="1"/>
    </xf>
    <xf numFmtId="0" fontId="21" fillId="2" borderId="42" xfId="0" applyFont="1" applyFill="1" applyBorder="1" applyAlignment="1">
      <alignment horizontal="right" vertical="center" wrapText="1"/>
    </xf>
    <xf numFmtId="0" fontId="21" fillId="2" borderId="25" xfId="0" applyFont="1" applyFill="1" applyBorder="1" applyAlignment="1">
      <alignment horizontal="right" vertical="center" wrapText="1"/>
    </xf>
    <xf numFmtId="0" fontId="26" fillId="2" borderId="3" xfId="0" applyFont="1" applyFill="1" applyBorder="1" applyAlignment="1">
      <alignment horizontal="center" vertical="center" wrapText="1"/>
    </xf>
    <xf numFmtId="0" fontId="26" fillId="2" borderId="71" xfId="0" applyFont="1" applyFill="1" applyBorder="1" applyAlignment="1">
      <alignment horizontal="center" vertical="center" wrapText="1"/>
    </xf>
    <xf numFmtId="0" fontId="26" fillId="2" borderId="5" xfId="0" applyFont="1" applyFill="1" applyBorder="1" applyAlignment="1">
      <alignment horizontal="center" vertical="center"/>
    </xf>
    <xf numFmtId="0" fontId="11" fillId="2" borderId="21" xfId="0" applyFont="1" applyFill="1" applyBorder="1" applyAlignment="1">
      <alignment horizontal="center" vertical="center" wrapText="1"/>
    </xf>
    <xf numFmtId="0" fontId="11" fillId="2" borderId="71" xfId="0" applyFont="1" applyFill="1" applyBorder="1" applyAlignment="1">
      <alignment horizontal="center" vertical="center" wrapText="1"/>
    </xf>
    <xf numFmtId="0" fontId="11" fillId="2" borderId="90" xfId="0" applyFont="1" applyFill="1" applyBorder="1" applyAlignment="1">
      <alignment horizontal="center" vertical="center" wrapText="1"/>
    </xf>
    <xf numFmtId="0" fontId="6" fillId="2" borderId="43" xfId="0" applyFont="1" applyFill="1" applyBorder="1" applyAlignment="1">
      <alignment horizontal="center" vertical="center"/>
    </xf>
    <xf numFmtId="0" fontId="6" fillId="2" borderId="46" xfId="0" applyFont="1" applyFill="1" applyBorder="1" applyAlignment="1">
      <alignment horizontal="center" vertical="center"/>
    </xf>
    <xf numFmtId="0" fontId="11" fillId="2" borderId="5" xfId="0" applyFont="1" applyFill="1" applyBorder="1" applyAlignment="1">
      <alignment horizontal="center" vertical="center"/>
    </xf>
    <xf numFmtId="0" fontId="1" fillId="2" borderId="24" xfId="0" applyFont="1" applyFill="1" applyBorder="1" applyAlignment="1">
      <alignment horizontal="center" vertical="center"/>
    </xf>
    <xf numFmtId="0" fontId="1" fillId="2" borderId="42" xfId="0" applyFont="1" applyFill="1" applyBorder="1" applyAlignment="1">
      <alignment horizontal="center" vertical="center"/>
    </xf>
    <xf numFmtId="0" fontId="1" fillId="2" borderId="25" xfId="0" applyFont="1" applyFill="1" applyBorder="1" applyAlignment="1">
      <alignment horizontal="center" vertical="center"/>
    </xf>
    <xf numFmtId="0" fontId="3" fillId="3" borderId="24" xfId="0" applyFont="1" applyFill="1" applyBorder="1" applyAlignment="1">
      <alignment horizontal="center" vertical="center"/>
    </xf>
    <xf numFmtId="0" fontId="3" fillId="3" borderId="42" xfId="0" applyFont="1" applyFill="1" applyBorder="1" applyAlignment="1">
      <alignment horizontal="center" vertical="center"/>
    </xf>
    <xf numFmtId="0" fontId="3" fillId="3" borderId="25"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13" xfId="0" applyFont="1" applyFill="1" applyBorder="1" applyAlignment="1">
      <alignment horizontal="center" vertical="center"/>
    </xf>
    <xf numFmtId="0" fontId="2" fillId="2" borderId="21" xfId="0" applyFont="1" applyFill="1" applyBorder="1" applyAlignment="1">
      <alignment horizontal="center" textRotation="90"/>
    </xf>
    <xf numFmtId="0" fontId="2" fillId="2" borderId="32" xfId="0" applyFont="1" applyFill="1" applyBorder="1" applyAlignment="1">
      <alignment horizontal="center" textRotation="90"/>
    </xf>
    <xf numFmtId="0" fontId="2" fillId="2" borderId="18" xfId="0" applyFont="1" applyFill="1" applyBorder="1" applyAlignment="1">
      <alignment horizontal="left"/>
    </xf>
    <xf numFmtId="0" fontId="2" fillId="2" borderId="30" xfId="0" applyFont="1" applyFill="1" applyBorder="1" applyAlignment="1">
      <alignment horizontal="left"/>
    </xf>
    <xf numFmtId="164" fontId="2" fillId="2" borderId="24" xfId="0" applyNumberFormat="1" applyFont="1" applyFill="1" applyBorder="1" applyAlignment="1">
      <alignment horizontal="center" vertical="center"/>
    </xf>
    <xf numFmtId="0" fontId="2" fillId="2" borderId="25"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textRotation="90"/>
    </xf>
    <xf numFmtId="0" fontId="2" fillId="2" borderId="16" xfId="0" applyFont="1" applyFill="1" applyBorder="1" applyAlignment="1">
      <alignment horizontal="center" textRotation="90"/>
    </xf>
    <xf numFmtId="0" fontId="2" fillId="2" borderId="13" xfId="0" applyFont="1" applyFill="1" applyBorder="1" applyAlignment="1">
      <alignment horizontal="center" textRotation="90"/>
    </xf>
    <xf numFmtId="0" fontId="2" fillId="2" borderId="17" xfId="0" applyFont="1" applyFill="1" applyBorder="1" applyAlignment="1">
      <alignment horizontal="center" textRotation="90"/>
    </xf>
    <xf numFmtId="0" fontId="2" fillId="2" borderId="18" xfId="0" applyFont="1" applyFill="1" applyBorder="1" applyAlignment="1">
      <alignment horizontal="center" textRotation="90"/>
    </xf>
    <xf numFmtId="0" fontId="2" fillId="2" borderId="30" xfId="0" applyFont="1" applyFill="1" applyBorder="1" applyAlignment="1">
      <alignment horizontal="center" textRotation="90"/>
    </xf>
    <xf numFmtId="164" fontId="1" fillId="2" borderId="24" xfId="0" applyNumberFormat="1" applyFont="1" applyFill="1" applyBorder="1" applyAlignment="1">
      <alignment horizontal="center" vertical="center"/>
    </xf>
    <xf numFmtId="164" fontId="2" fillId="2" borderId="39" xfId="0" applyNumberFormat="1" applyFont="1" applyFill="1" applyBorder="1" applyAlignment="1">
      <alignment horizontal="center" vertical="center"/>
    </xf>
    <xf numFmtId="0" fontId="2" fillId="2" borderId="40" xfId="0" applyFont="1" applyFill="1" applyBorder="1" applyAlignment="1">
      <alignment horizontal="center" vertical="center"/>
    </xf>
    <xf numFmtId="164" fontId="2" fillId="2" borderId="40" xfId="0" applyNumberFormat="1" applyFont="1" applyFill="1" applyBorder="1" applyAlignment="1">
      <alignment horizontal="center" vertical="center"/>
    </xf>
    <xf numFmtId="0" fontId="76" fillId="2" borderId="61" xfId="0" applyFont="1" applyFill="1" applyBorder="1" applyAlignment="1">
      <alignment horizontal="center" vertical="center"/>
    </xf>
    <xf numFmtId="0" fontId="76" fillId="2" borderId="62" xfId="0" applyFont="1" applyFill="1" applyBorder="1" applyAlignment="1">
      <alignment horizontal="center" vertical="center"/>
    </xf>
    <xf numFmtId="0" fontId="76" fillId="2" borderId="63" xfId="0" applyFont="1" applyFill="1" applyBorder="1" applyAlignment="1">
      <alignment horizontal="center" vertical="center"/>
    </xf>
    <xf numFmtId="0" fontId="60" fillId="0" borderId="0" xfId="0" applyFont="1" applyAlignment="1">
      <alignment horizontal="center" vertical="center" textRotation="90"/>
    </xf>
    <xf numFmtId="0" fontId="59" fillId="0" borderId="61" xfId="0" applyFont="1" applyBorder="1" applyAlignment="1">
      <alignment horizontal="left" vertical="center"/>
    </xf>
    <xf numFmtId="0" fontId="59" fillId="0" borderId="62" xfId="0" applyFont="1" applyBorder="1" applyAlignment="1">
      <alignment horizontal="left" vertical="center"/>
    </xf>
    <xf numFmtId="0" fontId="59" fillId="0" borderId="63" xfId="0" applyFont="1" applyBorder="1" applyAlignment="1">
      <alignment horizontal="center" vertical="center"/>
    </xf>
    <xf numFmtId="0" fontId="59" fillId="8" borderId="64" xfId="0" applyFont="1" applyFill="1" applyBorder="1" applyAlignment="1">
      <alignment horizontal="left" vertical="center"/>
    </xf>
    <xf numFmtId="0" fontId="59" fillId="8" borderId="65" xfId="0" applyFont="1" applyFill="1" applyBorder="1" applyAlignment="1">
      <alignment horizontal="left" vertical="center"/>
    </xf>
    <xf numFmtId="0" fontId="59" fillId="8" borderId="66" xfId="0" applyFont="1" applyFill="1" applyBorder="1" applyAlignment="1">
      <alignment horizontal="center" vertical="center"/>
    </xf>
    <xf numFmtId="0" fontId="59" fillId="8" borderId="67" xfId="0" applyFont="1" applyFill="1" applyBorder="1" applyAlignment="1">
      <alignment horizontal="left" vertical="center"/>
    </xf>
    <xf numFmtId="0" fontId="59" fillId="8" borderId="22" xfId="0" applyFont="1" applyFill="1" applyBorder="1" applyAlignment="1">
      <alignment horizontal="left" vertical="center"/>
    </xf>
    <xf numFmtId="0" fontId="59" fillId="8" borderId="68" xfId="0" applyFont="1" applyFill="1" applyBorder="1" applyAlignment="1">
      <alignment horizontal="center" vertical="center"/>
    </xf>
    <xf numFmtId="0" fontId="59" fillId="8" borderId="69" xfId="0" applyFont="1" applyFill="1" applyBorder="1" applyAlignment="1">
      <alignment horizontal="left" vertical="center"/>
    </xf>
    <xf numFmtId="0" fontId="59" fillId="8" borderId="32" xfId="0" applyFont="1" applyFill="1" applyBorder="1" applyAlignment="1">
      <alignment horizontal="left" vertical="center"/>
    </xf>
    <xf numFmtId="0" fontId="59" fillId="8" borderId="70" xfId="0" applyFont="1" applyFill="1" applyBorder="1" applyAlignment="1">
      <alignment horizontal="center" vertical="center"/>
    </xf>
    <xf numFmtId="0" fontId="59" fillId="0" borderId="64" xfId="0" applyFont="1" applyBorder="1" applyAlignment="1">
      <alignment horizontal="left" vertical="center"/>
    </xf>
    <xf numFmtId="0" fontId="59" fillId="0" borderId="65" xfId="0" applyFont="1" applyBorder="1" applyAlignment="1">
      <alignment horizontal="left" vertical="center"/>
    </xf>
    <xf numFmtId="0" fontId="59" fillId="0" borderId="66" xfId="0" applyFont="1" applyBorder="1" applyAlignment="1">
      <alignment horizontal="center" vertical="center"/>
    </xf>
    <xf numFmtId="0" fontId="59" fillId="0" borderId="67" xfId="0" applyFont="1" applyBorder="1" applyAlignment="1">
      <alignment horizontal="left" vertical="center"/>
    </xf>
    <xf numFmtId="0" fontId="59" fillId="0" borderId="22" xfId="0" applyFont="1" applyBorder="1" applyAlignment="1">
      <alignment horizontal="left" vertical="center"/>
    </xf>
    <xf numFmtId="0" fontId="59" fillId="0" borderId="68" xfId="0" applyFont="1" applyBorder="1" applyAlignment="1">
      <alignment horizontal="center" vertical="center"/>
    </xf>
    <xf numFmtId="0" fontId="59" fillId="0" borderId="69" xfId="0" applyFont="1" applyBorder="1" applyAlignment="1">
      <alignment horizontal="left" vertical="center"/>
    </xf>
    <xf numFmtId="0" fontId="59" fillId="0" borderId="32" xfId="0" applyFont="1" applyBorder="1" applyAlignment="1">
      <alignment horizontal="left" vertical="center"/>
    </xf>
    <xf numFmtId="0" fontId="59" fillId="0" borderId="70" xfId="0" applyFont="1" applyBorder="1" applyAlignment="1">
      <alignment horizontal="center" vertical="center"/>
    </xf>
    <xf numFmtId="0" fontId="59" fillId="0" borderId="58" xfId="0" applyFont="1" applyBorder="1" applyAlignment="1">
      <alignment horizontal="left" vertical="center"/>
    </xf>
    <xf numFmtId="0" fontId="59" fillId="0" borderId="59" xfId="0" applyFont="1" applyBorder="1" applyAlignment="1">
      <alignment horizontal="left" vertical="center"/>
    </xf>
    <xf numFmtId="0" fontId="59" fillId="0" borderId="60" xfId="0" applyFont="1" applyBorder="1" applyAlignment="1">
      <alignment horizontal="center" vertical="center"/>
    </xf>
    <xf numFmtId="0" fontId="59" fillId="0" borderId="0" xfId="0" applyFont="1" applyAlignment="1">
      <alignment vertical="center"/>
    </xf>
    <xf numFmtId="9" fontId="75" fillId="9" borderId="28" xfId="0" applyNumberFormat="1" applyFont="1" applyFill="1" applyBorder="1" applyAlignment="1">
      <alignment horizontal="center" vertical="center"/>
    </xf>
    <xf numFmtId="9" fontId="75" fillId="9" borderId="47" xfId="0" applyNumberFormat="1" applyFont="1" applyFill="1" applyBorder="1" applyAlignment="1">
      <alignment horizontal="center" vertical="center"/>
    </xf>
    <xf numFmtId="9" fontId="75" fillId="9" borderId="44" xfId="0" applyNumberFormat="1" applyFont="1" applyFill="1" applyBorder="1" applyAlignment="1">
      <alignment horizontal="center" vertical="center"/>
    </xf>
    <xf numFmtId="2" fontId="75" fillId="9" borderId="6" xfId="0" applyNumberFormat="1" applyFont="1" applyFill="1" applyBorder="1" applyAlignment="1">
      <alignment horizontal="center" vertical="center"/>
    </xf>
    <xf numFmtId="2" fontId="75" fillId="9" borderId="14" xfId="0" applyNumberFormat="1" applyFont="1" applyFill="1" applyBorder="1" applyAlignment="1">
      <alignment horizontal="center" vertical="center"/>
    </xf>
    <xf numFmtId="168" fontId="75" fillId="12" borderId="23" xfId="0" applyNumberFormat="1" applyFont="1" applyFill="1" applyBorder="1" applyAlignment="1">
      <alignment horizontal="right" vertical="center"/>
    </xf>
    <xf numFmtId="9" fontId="75" fillId="9" borderId="6" xfId="0" applyNumberFormat="1" applyFont="1" applyFill="1" applyBorder="1" applyAlignment="1">
      <alignment horizontal="center" vertical="center"/>
    </xf>
    <xf numFmtId="9" fontId="75" fillId="9" borderId="7" xfId="0" applyNumberFormat="1" applyFont="1" applyFill="1" applyBorder="1" applyAlignment="1">
      <alignment horizontal="center" vertical="center"/>
    </xf>
    <xf numFmtId="9" fontId="75" fillId="9" borderId="14" xfId="0" applyNumberFormat="1" applyFont="1" applyFill="1" applyBorder="1" applyAlignment="1">
      <alignment horizontal="center" vertical="center"/>
    </xf>
    <xf numFmtId="0" fontId="64" fillId="17" borderId="3" xfId="0" applyFont="1" applyFill="1" applyBorder="1" applyAlignment="1">
      <alignment horizontal="left" vertical="center" wrapText="1"/>
    </xf>
    <xf numFmtId="0" fontId="64" fillId="6" borderId="38" xfId="0" applyFont="1" applyFill="1" applyBorder="1" applyAlignment="1">
      <alignment horizontal="left" vertical="center" wrapText="1"/>
    </xf>
    <xf numFmtId="0" fontId="64" fillId="17" borderId="26" xfId="0" applyFont="1" applyFill="1" applyBorder="1" applyAlignment="1">
      <alignment horizontal="left" vertical="center" wrapText="1"/>
    </xf>
  </cellXfs>
  <cellStyles count="3">
    <cellStyle name="Normal" xfId="0" builtinId="0"/>
    <cellStyle name="Normal 2" xfId="2" xr:uid="{E32B9532-E968-4B0A-AE6D-652CDAB689F4}"/>
    <cellStyle name="Pourcentage" xfId="1" builtinId="5"/>
  </cellStyles>
  <dxfs count="0"/>
  <tableStyles count="0" defaultTableStyle="TableStyleMedium2" defaultPivotStyle="PivotStyleLight16"/>
  <colors>
    <mruColors>
      <color rgb="FF66FFFF"/>
      <color rgb="FFCC99FF"/>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26" Type="http://schemas.openxmlformats.org/officeDocument/2006/relationships/customXml" Target="../customXml/item2.xml"/><Relationship Id="rId3" Type="http://schemas.openxmlformats.org/officeDocument/2006/relationships/worksheet" Target="worksheets/sheet3.xml"/><Relationship Id="rId21" Type="http://schemas.microsoft.com/office/2017/06/relationships/rdRichValueStructure" Target="richData/rdrichvaluestructure.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theme" Target="theme/theme1.xml"/><Relationship Id="rId20"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06/relationships/rdRichValueTypes" Target="richData/rdRichValueTyp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0</xdr:row>
      <xdr:rowOff>0</xdr:rowOff>
    </xdr:from>
    <xdr:to>
      <xdr:col>7</xdr:col>
      <xdr:colOff>712506</xdr:colOff>
      <xdr:row>30</xdr:row>
      <xdr:rowOff>170714</xdr:rowOff>
    </xdr:to>
    <xdr:pic>
      <xdr:nvPicPr>
        <xdr:cNvPr id="2" name="Image 1">
          <a:extLst>
            <a:ext uri="{FF2B5EF4-FFF2-40B4-BE49-F238E27FC236}">
              <a16:creationId xmlns:a16="http://schemas.microsoft.com/office/drawing/2014/main" id="{56507005-88BD-46A0-AE95-5B00F501A21A}"/>
            </a:ext>
          </a:extLst>
        </xdr:cNvPr>
        <xdr:cNvPicPr>
          <a:picLocks noChangeAspect="1"/>
        </xdr:cNvPicPr>
      </xdr:nvPicPr>
      <xdr:blipFill>
        <a:blip xmlns:r="http://schemas.openxmlformats.org/officeDocument/2006/relationships" r:embed="rId1"/>
        <a:stretch>
          <a:fillRect/>
        </a:stretch>
      </xdr:blipFill>
      <xdr:spPr>
        <a:xfrm>
          <a:off x="56030" y="0"/>
          <a:ext cx="5990476" cy="5885714"/>
        </a:xfrm>
        <a:prstGeom prst="rect">
          <a:avLst/>
        </a:prstGeom>
      </xdr:spPr>
    </xdr:pic>
    <xdr:clientData/>
  </xdr:twoCellAnchor>
  <xdr:twoCellAnchor editAs="oneCell">
    <xdr:from>
      <xdr:col>8</xdr:col>
      <xdr:colOff>55563</xdr:colOff>
      <xdr:row>0</xdr:row>
      <xdr:rowOff>10204</xdr:rowOff>
    </xdr:from>
    <xdr:to>
      <xdr:col>19</xdr:col>
      <xdr:colOff>225944</xdr:colOff>
      <xdr:row>30</xdr:row>
      <xdr:rowOff>38061</xdr:rowOff>
    </xdr:to>
    <xdr:pic>
      <xdr:nvPicPr>
        <xdr:cNvPr id="4" name="Image 3">
          <a:extLst>
            <a:ext uri="{FF2B5EF4-FFF2-40B4-BE49-F238E27FC236}">
              <a16:creationId xmlns:a16="http://schemas.microsoft.com/office/drawing/2014/main" id="{CD74B136-B282-4CF0-8DFA-487455288324}"/>
            </a:ext>
            <a:ext uri="{147F2762-F138-4A5C-976F-8EAC2B608ADB}">
              <a16:predDERef xmlns:a16="http://schemas.microsoft.com/office/drawing/2014/main" pred="{56507005-88BD-46A0-AE95-5B00F501A21A}"/>
            </a:ext>
          </a:extLst>
        </xdr:cNvPr>
        <xdr:cNvPicPr>
          <a:picLocks noChangeAspect="1"/>
        </xdr:cNvPicPr>
      </xdr:nvPicPr>
      <xdr:blipFill>
        <a:blip xmlns:r="http://schemas.openxmlformats.org/officeDocument/2006/relationships" r:embed="rId2"/>
        <a:stretch>
          <a:fillRect/>
        </a:stretch>
      </xdr:blipFill>
      <xdr:spPr>
        <a:xfrm>
          <a:off x="6151563" y="10204"/>
          <a:ext cx="8552381" cy="574285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OLLER Eric Jakob" id="{A2A54CF9-2A74-4449-B09A-2BCB29648A5C}" userId="S::eric.soller@transn.ch::38476f78-89d4-443f-b546-7b8ffd99afdd" providerId="AD"/>
  <person displayName="THIBIERGE Emmanuel" id="{4125B1D7-B8D5-408C-A1BB-CFC273D427D0}" userId="S::emmanuel.thibierge@transn.ch::6639d80a-4513-49fa-9525-76a7d1135f98" providerId="AD"/>
</personList>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8</v>
    <v>220</v>
    <v>1</v>
  </rv>
</rvData>
</file>

<file path=xl/richData/rdrichvaluestructure.xml><?xml version="1.0" encoding="utf-8"?>
<rvStructures xmlns="http://schemas.microsoft.com/office/spreadsheetml/2017/richdata" count="1">
  <s t="_error">
    <k n="colOffset" t="i"/>
    <k n="errorType" t="i"/>
    <k n="rwOffset" t="i"/>
    <k n="subType" t="i"/>
  </s>
</rvStructure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F12" dT="2022-04-14T13:26:43.78" personId="{4125B1D7-B8D5-408C-A1BB-CFC273D427D0}" id="{D8709EAB-1E4F-4D0C-82F3-25A19CD19AB7}">
    <text>Si exécution 2022 : + 700'000 CHF</text>
  </threadedComment>
  <threadedComment ref="H14" dT="2022-04-29T09:03:49.71" personId="{A2A54CF9-2A74-4449-B09A-2BCB29648A5C}" id="{3EBE3026-E4B7-4650-B0E0-96DABBADD8E6}">
    <text>avt 27%</text>
  </threadedComment>
  <threadedComment ref="K15" dT="2022-04-29T09:03:59.99" personId="{A2A54CF9-2A74-4449-B09A-2BCB29648A5C}" id="{0F9F7DF3-98BD-40FD-86A7-8FA1FAC67CDC}">
    <text>avt 18%</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01F9E-7B6A-4AB2-83DD-95E8FCE81BEC}">
  <sheetPr>
    <tabColor rgb="FF00B050"/>
  </sheetPr>
  <dimension ref="A1:Z38"/>
  <sheetViews>
    <sheetView tabSelected="1" zoomScale="85" zoomScaleNormal="85" workbookViewId="0">
      <pane xSplit="1" ySplit="2" topLeftCell="B3" activePane="bottomRight" state="frozen"/>
      <selection pane="topRight" activeCell="B1" sqref="B1"/>
      <selection pane="bottomLeft" activeCell="A3" sqref="A3"/>
      <selection pane="bottomRight" activeCell="A3" sqref="A3"/>
    </sheetView>
  </sheetViews>
  <sheetFormatPr baseColWidth="10" defaultColWidth="11.42578125" defaultRowHeight="15" x14ac:dyDescent="0.25"/>
  <cols>
    <col min="1" max="1" width="37.28515625" style="722" bestFit="1" customWidth="1"/>
    <col min="2" max="2" width="12.140625" style="722" customWidth="1"/>
    <col min="3" max="3" width="10.42578125" style="722" bestFit="1" customWidth="1"/>
    <col min="4" max="4" width="31.28515625" style="722" customWidth="1"/>
    <col min="5" max="5" width="8" style="722" customWidth="1"/>
    <col min="6" max="6" width="10" style="722" customWidth="1"/>
    <col min="7" max="7" width="33.28515625" style="722" customWidth="1"/>
    <col min="8" max="17" width="6.85546875" style="722" customWidth="1"/>
    <col min="18" max="18" width="23.28515625" style="918" customWidth="1"/>
    <col min="19" max="19" width="21.5703125" style="752" customWidth="1"/>
    <col min="20" max="20" width="23.28515625" style="752" customWidth="1"/>
    <col min="21" max="21" width="21.5703125" style="909" customWidth="1"/>
    <col min="22" max="22" width="11.28515625" style="722" customWidth="1"/>
    <col min="23" max="23" width="88.140625" style="722" bestFit="1" customWidth="1"/>
    <col min="24" max="24" width="50" style="722" customWidth="1"/>
    <col min="25" max="25" width="56.85546875" style="722" customWidth="1"/>
    <col min="26" max="26" width="80.140625" style="722" bestFit="1" customWidth="1"/>
    <col min="27" max="16384" width="11.42578125" style="722"/>
  </cols>
  <sheetData>
    <row r="1" spans="1:26" ht="69.95" customHeight="1" thickBot="1" x14ac:dyDescent="0.3">
      <c r="A1" s="940" t="s">
        <v>670</v>
      </c>
      <c r="B1" s="941"/>
      <c r="C1" s="941"/>
      <c r="D1" s="942"/>
      <c r="E1" s="943" t="s">
        <v>0</v>
      </c>
      <c r="F1" s="945" t="s">
        <v>1</v>
      </c>
      <c r="G1" s="947" t="s">
        <v>2</v>
      </c>
      <c r="H1" s="949" t="s">
        <v>3</v>
      </c>
      <c r="I1" s="950"/>
      <c r="J1" s="950"/>
      <c r="K1" s="950"/>
      <c r="L1" s="951"/>
      <c r="M1" s="949" t="s">
        <v>4</v>
      </c>
      <c r="N1" s="950"/>
      <c r="O1" s="950"/>
      <c r="P1" s="950"/>
      <c r="Q1" s="951"/>
      <c r="R1" s="955" t="s">
        <v>671</v>
      </c>
      <c r="S1" s="956"/>
      <c r="T1" s="955" t="s">
        <v>672</v>
      </c>
      <c r="U1" s="956"/>
      <c r="V1" s="957" t="s">
        <v>5</v>
      </c>
      <c r="W1" s="959" t="s">
        <v>673</v>
      </c>
      <c r="X1" s="960"/>
      <c r="Y1" s="960"/>
      <c r="Z1" s="935" t="s">
        <v>6</v>
      </c>
    </row>
    <row r="2" spans="1:26" s="734" customFormat="1" ht="94.5" thickBot="1" x14ac:dyDescent="0.3">
      <c r="A2" s="723" t="s">
        <v>7</v>
      </c>
      <c r="B2" s="724" t="s">
        <v>8</v>
      </c>
      <c r="C2" s="724" t="s">
        <v>9</v>
      </c>
      <c r="D2" s="725" t="s">
        <v>10</v>
      </c>
      <c r="E2" s="944"/>
      <c r="F2" s="946"/>
      <c r="G2" s="948"/>
      <c r="H2" s="726" t="s">
        <v>11</v>
      </c>
      <c r="I2" s="727" t="s">
        <v>12</v>
      </c>
      <c r="J2" s="727" t="s">
        <v>13</v>
      </c>
      <c r="K2" s="727" t="s">
        <v>14</v>
      </c>
      <c r="L2" s="728" t="s">
        <v>15</v>
      </c>
      <c r="M2" s="726" t="s">
        <v>11</v>
      </c>
      <c r="N2" s="727" t="s">
        <v>12</v>
      </c>
      <c r="O2" s="727" t="s">
        <v>13</v>
      </c>
      <c r="P2" s="727" t="s">
        <v>14</v>
      </c>
      <c r="Q2" s="728" t="s">
        <v>15</v>
      </c>
      <c r="R2" s="729" t="s">
        <v>16</v>
      </c>
      <c r="S2" s="730" t="s">
        <v>17</v>
      </c>
      <c r="T2" s="729" t="s">
        <v>16</v>
      </c>
      <c r="U2" s="730" t="s">
        <v>17</v>
      </c>
      <c r="V2" s="958"/>
      <c r="W2" s="731" t="s">
        <v>668</v>
      </c>
      <c r="X2" s="732" t="s">
        <v>19</v>
      </c>
      <c r="Y2" s="733" t="s">
        <v>674</v>
      </c>
      <c r="Z2" s="936"/>
    </row>
    <row r="3" spans="1:26" s="752" customFormat="1" ht="126" customHeight="1" thickBot="1" x14ac:dyDescent="0.3">
      <c r="A3" s="735" t="s">
        <v>21</v>
      </c>
      <c r="B3" s="736" t="s">
        <v>22</v>
      </c>
      <c r="C3" s="736">
        <v>99</v>
      </c>
      <c r="D3" s="737" t="s">
        <v>23</v>
      </c>
      <c r="E3" s="738">
        <v>0</v>
      </c>
      <c r="F3" s="739">
        <v>0</v>
      </c>
      <c r="G3" s="740">
        <v>17463250</v>
      </c>
      <c r="H3" s="741">
        <v>0</v>
      </c>
      <c r="I3" s="742">
        <v>0</v>
      </c>
      <c r="J3" s="742">
        <v>0</v>
      </c>
      <c r="K3" s="742">
        <v>0</v>
      </c>
      <c r="L3" s="743">
        <v>0</v>
      </c>
      <c r="M3" s="741">
        <v>0.5</v>
      </c>
      <c r="N3" s="742">
        <v>0.3</v>
      </c>
      <c r="O3" s="742">
        <v>0.15</v>
      </c>
      <c r="P3" s="742">
        <v>4.9999999999999996E-2</v>
      </c>
      <c r="Q3" s="743">
        <v>0</v>
      </c>
      <c r="R3" s="744">
        <f>843430.25+66653.81</f>
        <v>910084.06</v>
      </c>
      <c r="S3" s="745">
        <v>153488.06</v>
      </c>
      <c r="T3" s="746">
        <v>446280</v>
      </c>
      <c r="U3" s="745">
        <v>255000</v>
      </c>
      <c r="V3" s="747">
        <f t="shared" ref="V3:V22" si="0">(H3*1+I3*2+J3*3+K3*4+L3*5)-(M3*1+N3*2+O3*3+P3*4+Q3*5)</f>
        <v>-1.75</v>
      </c>
      <c r="W3" s="748" t="s">
        <v>24</v>
      </c>
      <c r="X3" s="749"/>
      <c r="Y3" s="750" t="s">
        <v>25</v>
      </c>
      <c r="Z3" s="751"/>
    </row>
    <row r="4" spans="1:26" s="752" customFormat="1" ht="52.5" customHeight="1" x14ac:dyDescent="0.25">
      <c r="A4" s="753" t="s">
        <v>26</v>
      </c>
      <c r="B4" s="754">
        <v>1110</v>
      </c>
      <c r="C4" s="754">
        <v>110</v>
      </c>
      <c r="D4" s="755" t="s">
        <v>27</v>
      </c>
      <c r="E4" s="756">
        <v>47</v>
      </c>
      <c r="F4" s="757">
        <v>100</v>
      </c>
      <c r="G4" s="758">
        <v>6407911.1600000001</v>
      </c>
      <c r="H4" s="759">
        <v>0.14285714285714299</v>
      </c>
      <c r="I4" s="760">
        <v>0.57142857142857095</v>
      </c>
      <c r="J4" s="760">
        <v>0.14285714285714299</v>
      </c>
      <c r="K4" s="760">
        <v>0.14285714285714299</v>
      </c>
      <c r="L4" s="761">
        <v>0</v>
      </c>
      <c r="M4" s="759">
        <v>0.5</v>
      </c>
      <c r="N4" s="760">
        <v>0.3</v>
      </c>
      <c r="O4" s="760">
        <v>0.15</v>
      </c>
      <c r="P4" s="760">
        <v>4.9999999999999996E-2</v>
      </c>
      <c r="Q4" s="762">
        <v>0</v>
      </c>
      <c r="R4" s="763">
        <f>840.89+23183.75</f>
        <v>24024.639999999999</v>
      </c>
      <c r="S4" s="764">
        <v>8008.09</v>
      </c>
      <c r="T4" s="765">
        <v>53300</v>
      </c>
      <c r="U4" s="764">
        <v>49000</v>
      </c>
      <c r="V4" s="766">
        <f t="shared" si="0"/>
        <v>0.53571428571428603</v>
      </c>
      <c r="W4" s="767" t="s">
        <v>28</v>
      </c>
      <c r="X4" s="768" t="s">
        <v>29</v>
      </c>
      <c r="Y4" s="769" t="s">
        <v>25</v>
      </c>
      <c r="Z4" s="770"/>
    </row>
    <row r="5" spans="1:26" s="752" customFormat="1" ht="37.5" customHeight="1" x14ac:dyDescent="0.25">
      <c r="A5" s="771" t="s">
        <v>26</v>
      </c>
      <c r="B5" s="772">
        <v>1120</v>
      </c>
      <c r="C5" s="772">
        <v>120</v>
      </c>
      <c r="D5" s="773" t="s">
        <v>30</v>
      </c>
      <c r="E5" s="756">
        <v>117</v>
      </c>
      <c r="F5" s="757">
        <v>137.5</v>
      </c>
      <c r="G5" s="774">
        <v>117141403.5</v>
      </c>
      <c r="H5" s="775">
        <v>0</v>
      </c>
      <c r="I5" s="776">
        <v>0.25</v>
      </c>
      <c r="J5" s="776">
        <v>0.75</v>
      </c>
      <c r="K5" s="776">
        <v>0</v>
      </c>
      <c r="L5" s="777">
        <v>0</v>
      </c>
      <c r="M5" s="775">
        <v>0.5</v>
      </c>
      <c r="N5" s="776">
        <v>0.3</v>
      </c>
      <c r="O5" s="776">
        <v>0.15</v>
      </c>
      <c r="P5" s="776">
        <v>4.9999999999999996E-2</v>
      </c>
      <c r="Q5" s="778">
        <v>0</v>
      </c>
      <c r="R5" s="779">
        <v>0</v>
      </c>
      <c r="S5" s="780">
        <v>16861.55</v>
      </c>
      <c r="T5" s="781">
        <v>32500</v>
      </c>
      <c r="U5" s="780">
        <v>67000</v>
      </c>
      <c r="V5" s="782">
        <f t="shared" si="0"/>
        <v>1</v>
      </c>
      <c r="W5" s="783"/>
      <c r="X5" s="784" t="s">
        <v>29</v>
      </c>
      <c r="Y5" s="785" t="s">
        <v>25</v>
      </c>
      <c r="Z5" s="786"/>
    </row>
    <row r="6" spans="1:26" s="752" customFormat="1" ht="71.25" x14ac:dyDescent="0.25">
      <c r="A6" s="787" t="s">
        <v>26</v>
      </c>
      <c r="B6" s="788">
        <v>1130</v>
      </c>
      <c r="C6" s="788">
        <v>199</v>
      </c>
      <c r="D6" s="789" t="s">
        <v>31</v>
      </c>
      <c r="E6" s="756">
        <v>93.538461538461533</v>
      </c>
      <c r="F6" s="757">
        <v>118.61111111111111</v>
      </c>
      <c r="G6" s="790">
        <v>70701149.805000007</v>
      </c>
      <c r="H6" s="791">
        <v>0.104938271604938</v>
      </c>
      <c r="I6" s="792">
        <v>0.38888888888888901</v>
      </c>
      <c r="J6" s="792">
        <v>0.34</v>
      </c>
      <c r="K6" s="792">
        <v>0.16666666666666699</v>
      </c>
      <c r="L6" s="793">
        <v>0</v>
      </c>
      <c r="M6" s="791">
        <v>0.5</v>
      </c>
      <c r="N6" s="792">
        <v>0.3</v>
      </c>
      <c r="O6" s="792">
        <v>0.15</v>
      </c>
      <c r="P6" s="792">
        <v>4.9999999999999996E-2</v>
      </c>
      <c r="Q6" s="794">
        <v>0</v>
      </c>
      <c r="R6" s="795">
        <f>1202077.23+300820.5</f>
        <v>1502897.73</v>
      </c>
      <c r="S6" s="796">
        <v>547818.86</v>
      </c>
      <c r="T6" s="797">
        <v>761200</v>
      </c>
      <c r="U6" s="798">
        <v>713000</v>
      </c>
      <c r="V6" s="799">
        <f t="shared" si="0"/>
        <v>0.81938271604938384</v>
      </c>
      <c r="W6" s="800" t="s">
        <v>32</v>
      </c>
      <c r="X6" s="801" t="s">
        <v>33</v>
      </c>
      <c r="Y6" s="802" t="s">
        <v>25</v>
      </c>
      <c r="Z6" s="803"/>
    </row>
    <row r="7" spans="1:26" s="752" customFormat="1" ht="114.95" customHeight="1" x14ac:dyDescent="0.25">
      <c r="A7" s="753" t="s">
        <v>34</v>
      </c>
      <c r="B7" s="754">
        <v>1210</v>
      </c>
      <c r="C7" s="754">
        <v>210</v>
      </c>
      <c r="D7" s="755" t="s">
        <v>35</v>
      </c>
      <c r="E7" s="804">
        <v>32.637362637362635</v>
      </c>
      <c r="F7" s="805">
        <v>30.549450549450551</v>
      </c>
      <c r="G7" s="806">
        <v>56992800</v>
      </c>
      <c r="H7" s="807">
        <v>0.26373626373626402</v>
      </c>
      <c r="I7" s="808">
        <v>0.10989010989011</v>
      </c>
      <c r="J7" s="808">
        <v>0.10989010989011</v>
      </c>
      <c r="K7" s="808">
        <v>0.40659340659340698</v>
      </c>
      <c r="L7" s="809">
        <v>0.10989010989011</v>
      </c>
      <c r="M7" s="807">
        <v>0.5</v>
      </c>
      <c r="N7" s="808">
        <v>0.3</v>
      </c>
      <c r="O7" s="808">
        <v>0.15</v>
      </c>
      <c r="P7" s="808">
        <v>4.9999999999999996E-2</v>
      </c>
      <c r="Q7" s="810">
        <v>0</v>
      </c>
      <c r="R7" s="763">
        <f>978053.61</f>
        <v>978053.61</v>
      </c>
      <c r="S7" s="764">
        <v>1455723.45</v>
      </c>
      <c r="T7" s="811"/>
      <c r="U7" s="812">
        <v>1957000</v>
      </c>
      <c r="V7" s="766">
        <f t="shared" si="0"/>
        <v>1.2390109890109917</v>
      </c>
      <c r="W7" s="813" t="s">
        <v>36</v>
      </c>
      <c r="X7" s="814" t="s">
        <v>37</v>
      </c>
      <c r="Y7" s="815" t="s">
        <v>38</v>
      </c>
      <c r="Z7" s="816"/>
    </row>
    <row r="8" spans="1:26" s="752" customFormat="1" ht="93" customHeight="1" x14ac:dyDescent="0.25">
      <c r="A8" s="771" t="s">
        <v>34</v>
      </c>
      <c r="B8" s="772">
        <v>1220</v>
      </c>
      <c r="C8" s="772">
        <v>220</v>
      </c>
      <c r="D8" s="773" t="s">
        <v>39</v>
      </c>
      <c r="E8" s="756">
        <v>29.065573770491802</v>
      </c>
      <c r="F8" s="757">
        <v>27.21311475409836</v>
      </c>
      <c r="G8" s="817">
        <v>15030000</v>
      </c>
      <c r="H8" s="818">
        <v>0.22950819672131101</v>
      </c>
      <c r="I8" s="819">
        <v>0.18032786885245899</v>
      </c>
      <c r="J8" s="819">
        <v>0.13114754098360701</v>
      </c>
      <c r="K8" s="819">
        <v>0.34426229508196698</v>
      </c>
      <c r="L8" s="820">
        <v>0.114754098360656</v>
      </c>
      <c r="M8" s="818">
        <v>0.5</v>
      </c>
      <c r="N8" s="819">
        <v>0.3</v>
      </c>
      <c r="O8" s="819">
        <v>0.15</v>
      </c>
      <c r="P8" s="819">
        <v>4.9999999999999996E-2</v>
      </c>
      <c r="Q8" s="821">
        <v>0</v>
      </c>
      <c r="R8" s="779">
        <f>626002.5</f>
        <v>626002.5</v>
      </c>
      <c r="S8" s="780">
        <v>436465.18</v>
      </c>
      <c r="T8" s="781"/>
      <c r="U8" s="780">
        <v>509000</v>
      </c>
      <c r="V8" s="782">
        <f t="shared" si="0"/>
        <v>1.184426229508198</v>
      </c>
      <c r="W8" s="822" t="s">
        <v>40</v>
      </c>
      <c r="X8" s="823" t="s">
        <v>41</v>
      </c>
      <c r="Y8" s="815" t="s">
        <v>38</v>
      </c>
      <c r="Z8" s="824"/>
    </row>
    <row r="9" spans="1:26" s="752" customFormat="1" ht="121.5" customHeight="1" thickBot="1" x14ac:dyDescent="0.3">
      <c r="A9" s="787" t="s">
        <v>34</v>
      </c>
      <c r="B9" s="788">
        <v>1230</v>
      </c>
      <c r="C9" s="788">
        <v>299</v>
      </c>
      <c r="D9" s="789" t="s">
        <v>42</v>
      </c>
      <c r="E9" s="825">
        <v>28.522151898734176</v>
      </c>
      <c r="F9" s="826">
        <v>31.341772151898734</v>
      </c>
      <c r="G9" s="827">
        <v>91816545</v>
      </c>
      <c r="H9" s="818">
        <v>0.379746835443038</v>
      </c>
      <c r="I9" s="819">
        <v>5.6962025316455701E-2</v>
      </c>
      <c r="J9" s="819">
        <v>0.104430379746835</v>
      </c>
      <c r="K9" s="819">
        <v>0.40506329113924</v>
      </c>
      <c r="L9" s="820">
        <v>5.3797468354430403E-2</v>
      </c>
      <c r="M9" s="818">
        <v>0.5</v>
      </c>
      <c r="N9" s="819">
        <v>0.3</v>
      </c>
      <c r="O9" s="819">
        <v>0.15</v>
      </c>
      <c r="P9" s="819">
        <v>4.9999999999999996E-2</v>
      </c>
      <c r="Q9" s="821">
        <v>0</v>
      </c>
      <c r="R9" s="795">
        <f>7701851.7+529281.4</f>
        <v>8231133.1000000006</v>
      </c>
      <c r="S9" s="796">
        <v>348142</v>
      </c>
      <c r="T9" s="828">
        <v>2807150</v>
      </c>
      <c r="U9" s="796">
        <v>364000</v>
      </c>
      <c r="V9" s="799">
        <f t="shared" si="0"/>
        <v>0.94620253164556622</v>
      </c>
      <c r="W9" s="829" t="s">
        <v>43</v>
      </c>
      <c r="X9" s="830" t="s">
        <v>44</v>
      </c>
      <c r="Y9" s="831" t="s">
        <v>38</v>
      </c>
      <c r="Z9" s="832"/>
    </row>
    <row r="10" spans="1:26" s="752" customFormat="1" ht="94.5" customHeight="1" x14ac:dyDescent="0.25">
      <c r="A10" s="753" t="s">
        <v>45</v>
      </c>
      <c r="B10" s="754">
        <v>1310</v>
      </c>
      <c r="C10" s="754">
        <v>310</v>
      </c>
      <c r="D10" s="755" t="s">
        <v>46</v>
      </c>
      <c r="E10" s="804">
        <v>29.727272727272727</v>
      </c>
      <c r="F10" s="805">
        <v>31.470588235294116</v>
      </c>
      <c r="G10" s="806">
        <v>46066000</v>
      </c>
      <c r="H10" s="833">
        <v>0.26470588235294101</v>
      </c>
      <c r="I10" s="834">
        <v>5.8823529411764698E-2</v>
      </c>
      <c r="J10" s="834">
        <v>5.8823529411764698E-2</v>
      </c>
      <c r="K10" s="834">
        <v>0.35294117647058798</v>
      </c>
      <c r="L10" s="835">
        <v>0.26470588235294101</v>
      </c>
      <c r="M10" s="833">
        <v>0.3</v>
      </c>
      <c r="N10" s="834">
        <v>0.5</v>
      </c>
      <c r="O10" s="834">
        <v>0.19999999999999998</v>
      </c>
      <c r="P10" s="834">
        <v>0</v>
      </c>
      <c r="Q10" s="835">
        <v>0</v>
      </c>
      <c r="R10" s="763">
        <f>624452.02</f>
        <v>624452.02</v>
      </c>
      <c r="S10" s="764">
        <v>769295.53</v>
      </c>
      <c r="T10" s="765"/>
      <c r="U10" s="764">
        <v>768000</v>
      </c>
      <c r="V10" s="766">
        <f t="shared" si="0"/>
        <v>1.3941176470588217</v>
      </c>
      <c r="W10" s="836" t="s">
        <v>47</v>
      </c>
      <c r="X10" s="837" t="s">
        <v>48</v>
      </c>
      <c r="Y10" s="838" t="s">
        <v>38</v>
      </c>
      <c r="Z10" s="839"/>
    </row>
    <row r="11" spans="1:26" s="752" customFormat="1" ht="28.5" x14ac:dyDescent="0.25">
      <c r="A11" s="771" t="s">
        <v>45</v>
      </c>
      <c r="B11" s="772" t="s">
        <v>49</v>
      </c>
      <c r="C11" s="772">
        <v>351</v>
      </c>
      <c r="D11" s="773" t="s">
        <v>669</v>
      </c>
      <c r="E11" s="756">
        <v>15.6875</v>
      </c>
      <c r="F11" s="757">
        <v>43.275862068965516</v>
      </c>
      <c r="G11" s="817">
        <v>870000</v>
      </c>
      <c r="H11" s="818">
        <v>0.22413793103448301</v>
      </c>
      <c r="I11" s="819">
        <v>1.72413793103448E-2</v>
      </c>
      <c r="J11" s="819">
        <v>0.53448275862068995</v>
      </c>
      <c r="K11" s="819">
        <v>3.4482758620689703E-2</v>
      </c>
      <c r="L11" s="821">
        <v>0.18965517241379301</v>
      </c>
      <c r="M11" s="818">
        <v>0.3</v>
      </c>
      <c r="N11" s="819">
        <v>0.5</v>
      </c>
      <c r="O11" s="819">
        <v>0.19999999999999998</v>
      </c>
      <c r="P11" s="819">
        <v>0</v>
      </c>
      <c r="Q11" s="821">
        <v>0</v>
      </c>
      <c r="R11" s="779">
        <v>0</v>
      </c>
      <c r="S11" s="780">
        <v>0</v>
      </c>
      <c r="T11" s="781"/>
      <c r="U11" s="780">
        <v>143000</v>
      </c>
      <c r="V11" s="782">
        <f t="shared" si="0"/>
        <v>1.0482758620689663</v>
      </c>
      <c r="W11" s="822" t="s">
        <v>51</v>
      </c>
      <c r="X11" s="840" t="s">
        <v>52</v>
      </c>
      <c r="Y11" s="841" t="s">
        <v>38</v>
      </c>
      <c r="Z11" s="842"/>
    </row>
    <row r="12" spans="1:26" s="752" customFormat="1" ht="28.5" x14ac:dyDescent="0.25">
      <c r="A12" s="771" t="s">
        <v>45</v>
      </c>
      <c r="B12" s="772" t="s">
        <v>49</v>
      </c>
      <c r="C12" s="772">
        <v>352</v>
      </c>
      <c r="D12" s="773" t="s">
        <v>53</v>
      </c>
      <c r="E12" s="756">
        <v>28.857142857142858</v>
      </c>
      <c r="F12" s="757">
        <v>33</v>
      </c>
      <c r="G12" s="817">
        <v>7000000</v>
      </c>
      <c r="H12" s="818">
        <v>0.14285714285714299</v>
      </c>
      <c r="I12" s="819">
        <v>0.14285714285714299</v>
      </c>
      <c r="J12" s="819">
        <v>0.14285714285714299</v>
      </c>
      <c r="K12" s="819">
        <v>0.14285714285714299</v>
      </c>
      <c r="L12" s="821">
        <v>0.42857142857142899</v>
      </c>
      <c r="M12" s="818">
        <v>0.3</v>
      </c>
      <c r="N12" s="819">
        <v>0.5</v>
      </c>
      <c r="O12" s="819">
        <v>0.19999999999999998</v>
      </c>
      <c r="P12" s="819">
        <v>0</v>
      </c>
      <c r="Q12" s="821">
        <v>0</v>
      </c>
      <c r="R12" s="779">
        <f>97216.64+6840</f>
        <v>104056.64</v>
      </c>
      <c r="S12" s="780">
        <v>164356.35</v>
      </c>
      <c r="T12" s="781"/>
      <c r="U12" s="780">
        <v>299000</v>
      </c>
      <c r="V12" s="782">
        <f t="shared" si="0"/>
        <v>1.6714285714285748</v>
      </c>
      <c r="W12" s="822" t="s">
        <v>54</v>
      </c>
      <c r="X12" s="840" t="s">
        <v>55</v>
      </c>
      <c r="Y12" s="841" t="s">
        <v>38</v>
      </c>
      <c r="Z12" s="842"/>
    </row>
    <row r="13" spans="1:26" s="752" customFormat="1" ht="74.45" customHeight="1" thickBot="1" x14ac:dyDescent="0.3">
      <c r="A13" s="787" t="s">
        <v>45</v>
      </c>
      <c r="B13" s="788" t="s">
        <v>49</v>
      </c>
      <c r="C13" s="788">
        <v>399</v>
      </c>
      <c r="D13" s="789" t="s">
        <v>56</v>
      </c>
      <c r="E13" s="825">
        <v>3</v>
      </c>
      <c r="F13" s="826">
        <v>26.666666666666668</v>
      </c>
      <c r="G13" s="827">
        <v>77000</v>
      </c>
      <c r="H13" s="843">
        <v>0.58333333333333304</v>
      </c>
      <c r="I13" s="844">
        <v>0</v>
      </c>
      <c r="J13" s="844">
        <v>0</v>
      </c>
      <c r="K13" s="844">
        <v>8.3333333333333301E-2</v>
      </c>
      <c r="L13" s="845">
        <v>0.33333333333333298</v>
      </c>
      <c r="M13" s="843">
        <v>0</v>
      </c>
      <c r="N13" s="844">
        <v>0</v>
      </c>
      <c r="O13" s="844">
        <v>0</v>
      </c>
      <c r="P13" s="844">
        <v>0</v>
      </c>
      <c r="Q13" s="845">
        <v>0</v>
      </c>
      <c r="R13" s="795">
        <f>1474003.52+552922.7</f>
        <v>2026926.22</v>
      </c>
      <c r="S13" s="796">
        <v>0</v>
      </c>
      <c r="T13" s="797">
        <v>2572750</v>
      </c>
      <c r="U13" s="798">
        <v>0</v>
      </c>
      <c r="V13" s="799">
        <f t="shared" si="0"/>
        <v>2.5833333333333313</v>
      </c>
      <c r="W13" s="846" t="s">
        <v>57</v>
      </c>
      <c r="X13" s="847" t="s">
        <v>58</v>
      </c>
      <c r="Y13" s="848" t="s">
        <v>38</v>
      </c>
      <c r="Z13" s="832"/>
    </row>
    <row r="14" spans="1:26" s="752" customFormat="1" ht="154.5" customHeight="1" x14ac:dyDescent="0.25">
      <c r="A14" s="753" t="s">
        <v>59</v>
      </c>
      <c r="B14" s="754">
        <v>1410</v>
      </c>
      <c r="C14" s="754">
        <v>410</v>
      </c>
      <c r="D14" s="755" t="s">
        <v>282</v>
      </c>
      <c r="E14" s="804">
        <v>19.294416243654823</v>
      </c>
      <c r="F14" s="805">
        <v>30.645933014354068</v>
      </c>
      <c r="G14" s="806">
        <v>33206400</v>
      </c>
      <c r="H14" s="833">
        <v>0.35406698564593297</v>
      </c>
      <c r="I14" s="834">
        <v>0.21052631578947401</v>
      </c>
      <c r="J14" s="834">
        <v>0.17224880382775101</v>
      </c>
      <c r="K14" s="834">
        <v>9.0909090909090898E-2</v>
      </c>
      <c r="L14" s="835">
        <v>0.17224880382775101</v>
      </c>
      <c r="M14" s="833">
        <v>0.5</v>
      </c>
      <c r="N14" s="834">
        <v>0.3</v>
      </c>
      <c r="O14" s="834">
        <v>0.19999999999999998</v>
      </c>
      <c r="P14" s="834">
        <v>0</v>
      </c>
      <c r="Q14" s="835">
        <v>0</v>
      </c>
      <c r="R14" s="763">
        <f>309964.34</f>
        <v>309964.34000000003</v>
      </c>
      <c r="S14" s="764">
        <v>1187527.8500000001</v>
      </c>
      <c r="T14" s="811"/>
      <c r="U14" s="812">
        <v>1489000</v>
      </c>
      <c r="V14" s="766">
        <f t="shared" si="0"/>
        <v>0.81674641148325255</v>
      </c>
      <c r="W14" s="849" t="s">
        <v>61</v>
      </c>
      <c r="X14" s="850" t="s">
        <v>62</v>
      </c>
      <c r="Y14" s="851" t="s">
        <v>38</v>
      </c>
      <c r="Z14" s="852"/>
    </row>
    <row r="15" spans="1:26" s="752" customFormat="1" ht="162.75" customHeight="1" thickBot="1" x14ac:dyDescent="0.3">
      <c r="A15" s="787" t="s">
        <v>59</v>
      </c>
      <c r="B15" s="788">
        <v>1420</v>
      </c>
      <c r="C15" s="788">
        <v>499</v>
      </c>
      <c r="D15" s="789" t="s">
        <v>63</v>
      </c>
      <c r="E15" s="825">
        <v>17.266666666666666</v>
      </c>
      <c r="F15" s="826">
        <v>27.179487179487179</v>
      </c>
      <c r="G15" s="827">
        <v>5214658</v>
      </c>
      <c r="H15" s="843">
        <v>0.30769230769230799</v>
      </c>
      <c r="I15" s="844">
        <v>0.35897435897435898</v>
      </c>
      <c r="J15" s="844">
        <v>2.5641025641025599E-2</v>
      </c>
      <c r="K15" s="844">
        <v>0.128205128205128</v>
      </c>
      <c r="L15" s="845">
        <v>0.17948717948717999</v>
      </c>
      <c r="M15" s="843">
        <v>0.39999999999999997</v>
      </c>
      <c r="N15" s="844">
        <v>0.35</v>
      </c>
      <c r="O15" s="844">
        <v>0.25</v>
      </c>
      <c r="P15" s="844">
        <v>0</v>
      </c>
      <c r="Q15" s="845">
        <v>0</v>
      </c>
      <c r="R15" s="795">
        <f>2713512.4+284237.98</f>
        <v>2997750.38</v>
      </c>
      <c r="S15" s="796">
        <v>30313.47</v>
      </c>
      <c r="T15" s="828">
        <v>1919700</v>
      </c>
      <c r="U15" s="796">
        <v>54000</v>
      </c>
      <c r="V15" s="799">
        <f t="shared" si="0"/>
        <v>0.66282051282051513</v>
      </c>
      <c r="W15" s="853" t="s">
        <v>64</v>
      </c>
      <c r="X15" s="847" t="s">
        <v>65</v>
      </c>
      <c r="Y15" s="854" t="s">
        <v>38</v>
      </c>
      <c r="Z15" s="832"/>
    </row>
    <row r="16" spans="1:26" s="752" customFormat="1" ht="119.1" customHeight="1" x14ac:dyDescent="0.25">
      <c r="A16" s="753" t="s">
        <v>66</v>
      </c>
      <c r="B16" s="754">
        <v>1510</v>
      </c>
      <c r="C16" s="754">
        <v>510</v>
      </c>
      <c r="D16" s="755" t="s">
        <v>67</v>
      </c>
      <c r="E16" s="804">
        <v>8.0481927710843379</v>
      </c>
      <c r="F16" s="805">
        <v>17.228915662650603</v>
      </c>
      <c r="G16" s="806">
        <v>2000000</v>
      </c>
      <c r="H16" s="833">
        <v>0.80722891566265098</v>
      </c>
      <c r="I16" s="834">
        <v>0.14457831325301199</v>
      </c>
      <c r="J16" s="834">
        <v>3.6144578313252997E-2</v>
      </c>
      <c r="K16" s="834">
        <v>6.0240963855421699E-3</v>
      </c>
      <c r="L16" s="835">
        <v>6.0240963855421699E-3</v>
      </c>
      <c r="M16" s="833">
        <v>0.44999999999999996</v>
      </c>
      <c r="N16" s="834">
        <v>0.35</v>
      </c>
      <c r="O16" s="834">
        <v>9.9999999999999992E-2</v>
      </c>
      <c r="P16" s="834">
        <v>9.9999999999999992E-2</v>
      </c>
      <c r="Q16" s="835">
        <v>0</v>
      </c>
      <c r="R16" s="763">
        <f>215767.26</f>
        <v>215767.26</v>
      </c>
      <c r="S16" s="764">
        <v>10834.12</v>
      </c>
      <c r="T16" s="765"/>
      <c r="U16" s="764">
        <v>76000</v>
      </c>
      <c r="V16" s="766">
        <f t="shared" si="0"/>
        <v>-0.59096385542168628</v>
      </c>
      <c r="W16" s="855" t="s">
        <v>68</v>
      </c>
      <c r="X16" s="768" t="s">
        <v>69</v>
      </c>
      <c r="Y16" s="851" t="s">
        <v>38</v>
      </c>
      <c r="Z16" s="852"/>
    </row>
    <row r="17" spans="1:26" s="752" customFormat="1" ht="115.5" customHeight="1" thickBot="1" x14ac:dyDescent="0.3">
      <c r="A17" s="787" t="s">
        <v>66</v>
      </c>
      <c r="B17" s="788">
        <v>1520</v>
      </c>
      <c r="C17" s="788">
        <v>599</v>
      </c>
      <c r="D17" s="789" t="s">
        <v>211</v>
      </c>
      <c r="E17" s="825">
        <v>5.4025974025974026</v>
      </c>
      <c r="F17" s="826">
        <v>30.714285714285715</v>
      </c>
      <c r="G17" s="827">
        <v>1500000</v>
      </c>
      <c r="H17" s="843">
        <v>0.92207792207792205</v>
      </c>
      <c r="I17" s="844">
        <v>7.7922077922077906E-2</v>
      </c>
      <c r="J17" s="844">
        <v>0</v>
      </c>
      <c r="K17" s="844">
        <v>0</v>
      </c>
      <c r="L17" s="845">
        <v>0</v>
      </c>
      <c r="M17" s="856">
        <v>0.5</v>
      </c>
      <c r="N17" s="857">
        <v>0.3</v>
      </c>
      <c r="O17" s="857">
        <v>0.15</v>
      </c>
      <c r="P17" s="857">
        <v>4.9999999999999996E-2</v>
      </c>
      <c r="Q17" s="858">
        <v>0</v>
      </c>
      <c r="R17" s="795">
        <f>522356.59+80557.64</f>
        <v>602914.23</v>
      </c>
      <c r="S17" s="796">
        <v>8737.1200000000008</v>
      </c>
      <c r="T17" s="797">
        <v>359270</v>
      </c>
      <c r="U17" s="798">
        <v>14000</v>
      </c>
      <c r="V17" s="799">
        <f t="shared" si="0"/>
        <v>-0.67207792207792205</v>
      </c>
      <c r="W17" s="859"/>
      <c r="X17" s="801" t="s">
        <v>71</v>
      </c>
      <c r="Y17" s="854" t="s">
        <v>25</v>
      </c>
      <c r="Z17" s="860"/>
    </row>
    <row r="18" spans="1:26" s="752" customFormat="1" ht="70.5" customHeight="1" x14ac:dyDescent="0.25">
      <c r="A18" s="753" t="s">
        <v>72</v>
      </c>
      <c r="B18" s="754">
        <v>1610</v>
      </c>
      <c r="C18" s="754">
        <v>610</v>
      </c>
      <c r="D18" s="755" t="s">
        <v>73</v>
      </c>
      <c r="E18" s="804">
        <v>28.645569620253166</v>
      </c>
      <c r="F18" s="805">
        <v>50.696202531645568</v>
      </c>
      <c r="G18" s="806">
        <v>48156400</v>
      </c>
      <c r="H18" s="818">
        <v>0.316455696202532</v>
      </c>
      <c r="I18" s="819">
        <v>0.30379746835443</v>
      </c>
      <c r="J18" s="819">
        <v>2.53164556962025E-2</v>
      </c>
      <c r="K18" s="819">
        <v>2.53164556962025E-2</v>
      </c>
      <c r="L18" s="820">
        <v>0.329113924050633</v>
      </c>
      <c r="M18" s="833">
        <v>0.5</v>
      </c>
      <c r="N18" s="834">
        <v>0.3</v>
      </c>
      <c r="O18" s="834">
        <v>0.15</v>
      </c>
      <c r="P18" s="834">
        <v>4.9999999999999996E-2</v>
      </c>
      <c r="Q18" s="835">
        <v>0</v>
      </c>
      <c r="R18" s="763">
        <f>1517586.81+3185</f>
        <v>1520771.81</v>
      </c>
      <c r="S18" s="764">
        <v>312342.90000000002</v>
      </c>
      <c r="T18" s="811"/>
      <c r="U18" s="812">
        <v>378000</v>
      </c>
      <c r="V18" s="766">
        <f t="shared" si="0"/>
        <v>0.99683544303797422</v>
      </c>
      <c r="W18" s="849" t="s">
        <v>74</v>
      </c>
      <c r="X18" s="861" t="s">
        <v>75</v>
      </c>
      <c r="Y18" s="838" t="s">
        <v>38</v>
      </c>
      <c r="Z18" s="852"/>
    </row>
    <row r="19" spans="1:26" s="752" customFormat="1" ht="45" customHeight="1" thickBot="1" x14ac:dyDescent="0.3">
      <c r="A19" s="787" t="s">
        <v>72</v>
      </c>
      <c r="B19" s="788">
        <v>1620</v>
      </c>
      <c r="C19" s="788">
        <v>699</v>
      </c>
      <c r="D19" s="789" t="s">
        <v>76</v>
      </c>
      <c r="E19" s="825">
        <v>12.2</v>
      </c>
      <c r="F19" s="826">
        <v>39.666666666666664</v>
      </c>
      <c r="G19" s="827">
        <v>1891500</v>
      </c>
      <c r="H19" s="818">
        <v>0.8</v>
      </c>
      <c r="I19" s="819">
        <v>0</v>
      </c>
      <c r="J19" s="819">
        <v>0.133333333333333</v>
      </c>
      <c r="K19" s="819">
        <v>6.6666666666666693E-2</v>
      </c>
      <c r="L19" s="820">
        <v>0</v>
      </c>
      <c r="M19" s="856">
        <v>0.5</v>
      </c>
      <c r="N19" s="857">
        <v>0.3</v>
      </c>
      <c r="O19" s="857">
        <v>0.15</v>
      </c>
      <c r="P19" s="857">
        <v>4.9999999999999996E-2</v>
      </c>
      <c r="Q19" s="858">
        <v>0</v>
      </c>
      <c r="R19" s="862">
        <f>4496480.85+415272.29</f>
        <v>4911753.1399999997</v>
      </c>
      <c r="S19" s="798">
        <v>0</v>
      </c>
      <c r="T19" s="828">
        <v>1848600</v>
      </c>
      <c r="U19" s="796">
        <v>23000</v>
      </c>
      <c r="V19" s="799">
        <f t="shared" si="0"/>
        <v>-0.2833333333333341</v>
      </c>
      <c r="W19" s="863" t="s">
        <v>77</v>
      </c>
      <c r="X19" s="864" t="s">
        <v>78</v>
      </c>
      <c r="Y19" s="854" t="s">
        <v>25</v>
      </c>
      <c r="Z19" s="860"/>
    </row>
    <row r="20" spans="1:26" s="752" customFormat="1" ht="75.75" customHeight="1" x14ac:dyDescent="0.25">
      <c r="A20" s="753" t="s">
        <v>79</v>
      </c>
      <c r="B20" s="754">
        <v>1710</v>
      </c>
      <c r="C20" s="754">
        <v>710</v>
      </c>
      <c r="D20" s="755" t="s">
        <v>80</v>
      </c>
      <c r="E20" s="804">
        <v>36.909090909090907</v>
      </c>
      <c r="F20" s="805">
        <v>36.81818181818182</v>
      </c>
      <c r="G20" s="806">
        <v>10410000</v>
      </c>
      <c r="H20" s="833">
        <v>0.36363636363636398</v>
      </c>
      <c r="I20" s="834">
        <v>9.0909090909090898E-2</v>
      </c>
      <c r="J20" s="834">
        <v>0.27272727272727298</v>
      </c>
      <c r="K20" s="834">
        <v>0.27272727272727298</v>
      </c>
      <c r="L20" s="835">
        <v>0</v>
      </c>
      <c r="M20" s="833">
        <v>0.5</v>
      </c>
      <c r="N20" s="834">
        <v>0.3</v>
      </c>
      <c r="O20" s="834">
        <v>0.15</v>
      </c>
      <c r="P20" s="834">
        <v>4.9999999999999996E-2</v>
      </c>
      <c r="Q20" s="835">
        <v>0</v>
      </c>
      <c r="R20" s="865">
        <f>172916</f>
        <v>172916</v>
      </c>
      <c r="S20" s="812">
        <v>52289.74</v>
      </c>
      <c r="T20" s="765"/>
      <c r="U20" s="764">
        <v>84000</v>
      </c>
      <c r="V20" s="866">
        <f t="shared" si="0"/>
        <v>0.70454545454545681</v>
      </c>
      <c r="W20" s="813" t="s">
        <v>81</v>
      </c>
      <c r="X20" s="867" t="s">
        <v>82</v>
      </c>
      <c r="Y20" s="851" t="s">
        <v>25</v>
      </c>
      <c r="Z20" s="868"/>
    </row>
    <row r="21" spans="1:26" s="752" customFormat="1" ht="216" x14ac:dyDescent="0.25">
      <c r="A21" s="869" t="s">
        <v>79</v>
      </c>
      <c r="B21" s="870">
        <v>1720</v>
      </c>
      <c r="C21" s="870">
        <v>799</v>
      </c>
      <c r="D21" s="871" t="s">
        <v>83</v>
      </c>
      <c r="E21" s="872">
        <v>7.75</v>
      </c>
      <c r="F21" s="873">
        <v>12.142857142857142</v>
      </c>
      <c r="G21" s="740">
        <v>2282500</v>
      </c>
      <c r="H21" s="874">
        <v>0.28571428571428598</v>
      </c>
      <c r="I21" s="875">
        <v>0.5</v>
      </c>
      <c r="J21" s="875">
        <v>0.107142857142857</v>
      </c>
      <c r="K21" s="875">
        <v>0.107142857142857</v>
      </c>
      <c r="L21" s="876">
        <v>0</v>
      </c>
      <c r="M21" s="877">
        <v>0.5</v>
      </c>
      <c r="N21" s="878">
        <v>0.3</v>
      </c>
      <c r="O21" s="878">
        <v>0.15</v>
      </c>
      <c r="P21" s="878">
        <v>4.9999999999999996E-2</v>
      </c>
      <c r="Q21" s="879">
        <v>0</v>
      </c>
      <c r="R21" s="880">
        <f>839521.9+46452.5</f>
        <v>885974.4</v>
      </c>
      <c r="S21" s="796">
        <v>215456.39</v>
      </c>
      <c r="T21" s="828">
        <v>1672000</v>
      </c>
      <c r="U21" s="796">
        <v>174000</v>
      </c>
      <c r="V21" s="881">
        <f t="shared" si="0"/>
        <v>0.28571428571428514</v>
      </c>
      <c r="W21" s="882" t="s">
        <v>675</v>
      </c>
      <c r="X21" s="883" t="s">
        <v>84</v>
      </c>
      <c r="Y21" s="884" t="s">
        <v>25</v>
      </c>
      <c r="Z21" s="868" t="s">
        <v>85</v>
      </c>
    </row>
    <row r="22" spans="1:26" s="752" customFormat="1" ht="29.25" thickBot="1" x14ac:dyDescent="0.3">
      <c r="A22" s="735" t="s">
        <v>86</v>
      </c>
      <c r="B22" s="736">
        <v>1810</v>
      </c>
      <c r="C22" s="736">
        <v>899</v>
      </c>
      <c r="D22" s="737" t="s">
        <v>87</v>
      </c>
      <c r="E22" s="738">
        <v>6.5882352941176467</v>
      </c>
      <c r="F22" s="885">
        <v>10</v>
      </c>
      <c r="G22" s="886">
        <v>255000</v>
      </c>
      <c r="H22" s="887">
        <v>0.23529411764705899</v>
      </c>
      <c r="I22" s="888">
        <v>0.17647058823529399</v>
      </c>
      <c r="J22" s="888">
        <v>0.58823529411764697</v>
      </c>
      <c r="K22" s="888">
        <v>0</v>
      </c>
      <c r="L22" s="889">
        <v>0</v>
      </c>
      <c r="M22" s="887">
        <v>0.5</v>
      </c>
      <c r="N22" s="888">
        <v>0.3</v>
      </c>
      <c r="O22" s="888">
        <v>0.19999999999999998</v>
      </c>
      <c r="P22" s="888">
        <v>0</v>
      </c>
      <c r="Q22" s="889">
        <v>0</v>
      </c>
      <c r="R22" s="890">
        <f>511380.86+288543.42</f>
        <v>799924.28</v>
      </c>
      <c r="S22" s="891">
        <f>226354.89+14481.28+44154.2</f>
        <v>284990.37</v>
      </c>
      <c r="T22" s="892">
        <v>1195250</v>
      </c>
      <c r="U22" s="893">
        <f>185000+21000+40000</f>
        <v>246000</v>
      </c>
      <c r="V22" s="894">
        <f t="shared" si="0"/>
        <v>0.65294117647058769</v>
      </c>
      <c r="W22" s="895" t="s">
        <v>676</v>
      </c>
      <c r="X22" s="896"/>
      <c r="Y22" s="897" t="s">
        <v>25</v>
      </c>
      <c r="Z22" s="868"/>
    </row>
    <row r="23" spans="1:26" s="899" customFormat="1" ht="36" customHeight="1" thickBot="1" x14ac:dyDescent="0.3">
      <c r="A23" s="898"/>
      <c r="B23" s="898"/>
      <c r="C23" s="898"/>
      <c r="D23" s="898"/>
      <c r="G23" s="900">
        <f>SUM(G3:G22)</f>
        <v>534482517.46500003</v>
      </c>
      <c r="H23" s="937">
        <f>SUM(H3:L22)</f>
        <v>19.000493827160494</v>
      </c>
      <c r="I23" s="938"/>
      <c r="J23" s="938"/>
      <c r="K23" s="938"/>
      <c r="L23" s="939"/>
      <c r="M23" s="937">
        <f>SUM(M3:Q22)</f>
        <v>19</v>
      </c>
      <c r="N23" s="938"/>
      <c r="O23" s="938"/>
      <c r="P23" s="938"/>
      <c r="Q23" s="939"/>
      <c r="R23" s="901">
        <f>SUM(R3:R22)</f>
        <v>27445366.360000003</v>
      </c>
      <c r="S23" s="902">
        <f>SUM(S3:S22)</f>
        <v>6002651.0300000003</v>
      </c>
      <c r="T23" s="903">
        <f>SUM(T3:T22)</f>
        <v>13668000</v>
      </c>
      <c r="U23" s="904">
        <f>SUM(U3:U22)</f>
        <v>7662000</v>
      </c>
      <c r="V23" s="905"/>
    </row>
    <row r="24" spans="1:26" ht="15.75" thickBot="1" x14ac:dyDescent="0.3">
      <c r="A24" s="906"/>
      <c r="B24" s="906"/>
      <c r="C24" s="906"/>
      <c r="D24" s="906"/>
      <c r="R24" s="907"/>
      <c r="S24" s="908"/>
    </row>
    <row r="25" spans="1:26" ht="30" customHeight="1" thickBot="1" x14ac:dyDescent="0.3">
      <c r="A25" s="906"/>
      <c r="B25" s="906"/>
      <c r="C25" s="906"/>
      <c r="D25" s="906"/>
      <c r="E25" s="952" t="s">
        <v>88</v>
      </c>
      <c r="F25" s="953"/>
      <c r="G25" s="953"/>
      <c r="H25" s="953"/>
      <c r="I25" s="953"/>
      <c r="J25" s="953"/>
      <c r="K25" s="953"/>
      <c r="L25" s="954"/>
      <c r="M25" s="910"/>
      <c r="N25" s="910"/>
      <c r="O25" s="911"/>
      <c r="Q25" s="911"/>
      <c r="R25" s="912"/>
      <c r="S25" s="913"/>
      <c r="T25" s="913"/>
      <c r="U25" s="913"/>
      <c r="V25" s="914"/>
      <c r="W25" s="914"/>
    </row>
    <row r="26" spans="1:26" ht="15.75" thickBot="1" x14ac:dyDescent="0.3">
      <c r="A26" s="906"/>
      <c r="B26" s="906"/>
      <c r="C26" s="906"/>
      <c r="D26" s="906"/>
      <c r="E26" s="915"/>
      <c r="F26" s="916"/>
      <c r="G26" s="916"/>
      <c r="H26" s="916"/>
      <c r="I26" s="916"/>
      <c r="J26" s="916"/>
      <c r="K26" s="916"/>
      <c r="L26" s="917"/>
    </row>
    <row r="27" spans="1:26" ht="15.75" thickBot="1" x14ac:dyDescent="0.3">
      <c r="A27" s="906"/>
      <c r="B27" s="906"/>
      <c r="C27" s="906"/>
      <c r="D27" s="906"/>
      <c r="E27" s="919"/>
      <c r="F27" s="920"/>
      <c r="G27" s="921" t="s">
        <v>89</v>
      </c>
      <c r="H27" s="922"/>
      <c r="I27" s="922"/>
      <c r="J27" s="922"/>
      <c r="K27" s="922"/>
      <c r="L27" s="923"/>
    </row>
    <row r="28" spans="1:26" ht="15.75" thickBot="1" x14ac:dyDescent="0.3">
      <c r="A28" s="906"/>
      <c r="B28" s="906"/>
      <c r="C28" s="906"/>
      <c r="D28" s="906"/>
      <c r="E28" s="919"/>
      <c r="F28" s="922"/>
      <c r="G28" s="924"/>
      <c r="H28" s="922"/>
      <c r="I28" s="922"/>
      <c r="J28" s="922"/>
      <c r="K28" s="922"/>
      <c r="L28" s="923"/>
    </row>
    <row r="29" spans="1:26" ht="15.75" thickBot="1" x14ac:dyDescent="0.3">
      <c r="A29" s="906"/>
      <c r="B29" s="906"/>
      <c r="C29" s="906"/>
      <c r="D29" s="906"/>
      <c r="E29" s="919"/>
      <c r="F29" s="925"/>
      <c r="G29" s="926" t="s">
        <v>677</v>
      </c>
      <c r="H29" s="922"/>
      <c r="I29" s="922"/>
      <c r="J29" s="922"/>
      <c r="K29" s="922"/>
      <c r="L29" s="923"/>
    </row>
    <row r="30" spans="1:26" ht="15.75" thickBot="1" x14ac:dyDescent="0.3">
      <c r="A30" s="906"/>
      <c r="B30" s="906"/>
      <c r="C30" s="906"/>
      <c r="D30" s="906"/>
      <c r="E30" s="919"/>
      <c r="F30" s="922"/>
      <c r="G30" s="924"/>
      <c r="H30" s="922"/>
      <c r="I30" s="922"/>
      <c r="J30" s="922"/>
      <c r="K30" s="922"/>
      <c r="L30" s="923"/>
    </row>
    <row r="31" spans="1:26" ht="15.75" thickBot="1" x14ac:dyDescent="0.3">
      <c r="A31" s="906"/>
      <c r="B31" s="906"/>
      <c r="C31" s="906"/>
      <c r="D31" s="906"/>
      <c r="E31" s="919"/>
      <c r="F31" s="927"/>
      <c r="G31" s="926" t="s">
        <v>678</v>
      </c>
      <c r="H31" s="922"/>
      <c r="I31" s="922"/>
      <c r="J31" s="922"/>
      <c r="K31" s="922"/>
      <c r="L31" s="923"/>
    </row>
    <row r="32" spans="1:26" ht="15.75" thickBot="1" x14ac:dyDescent="0.3">
      <c r="A32" s="906"/>
      <c r="B32" s="906"/>
      <c r="C32" s="906"/>
      <c r="D32" s="906"/>
      <c r="E32" s="919"/>
      <c r="F32" s="922"/>
      <c r="G32" s="924"/>
      <c r="H32" s="922"/>
      <c r="I32" s="922"/>
      <c r="J32" s="922"/>
      <c r="K32" s="922"/>
      <c r="L32" s="923"/>
    </row>
    <row r="33" spans="1:12" ht="15.75" thickBot="1" x14ac:dyDescent="0.3">
      <c r="A33" s="906"/>
      <c r="B33" s="906"/>
      <c r="C33" s="906"/>
      <c r="D33" s="906"/>
      <c r="E33" s="919"/>
      <c r="F33" s="928"/>
      <c r="G33" s="929" t="s">
        <v>92</v>
      </c>
      <c r="H33" s="922"/>
      <c r="I33" s="922"/>
      <c r="J33" s="922"/>
      <c r="K33" s="922"/>
      <c r="L33" s="923"/>
    </row>
    <row r="34" spans="1:12" ht="15.75" thickBot="1" x14ac:dyDescent="0.3">
      <c r="A34" s="906"/>
      <c r="B34" s="906"/>
      <c r="C34" s="906"/>
      <c r="D34" s="906"/>
      <c r="E34" s="919"/>
      <c r="F34" s="930"/>
      <c r="G34" s="924"/>
      <c r="H34" s="922"/>
      <c r="I34" s="922"/>
      <c r="J34" s="922"/>
      <c r="K34" s="922"/>
      <c r="L34" s="923"/>
    </row>
    <row r="35" spans="1:12" ht="15.75" thickBot="1" x14ac:dyDescent="0.3">
      <c r="E35" s="919"/>
      <c r="F35" s="931"/>
      <c r="G35" s="921" t="s">
        <v>93</v>
      </c>
      <c r="H35" s="922"/>
      <c r="I35" s="922"/>
      <c r="J35" s="922"/>
      <c r="K35" s="922"/>
      <c r="L35" s="923"/>
    </row>
    <row r="36" spans="1:12" ht="15.75" thickBot="1" x14ac:dyDescent="0.3">
      <c r="E36" s="919"/>
      <c r="F36" s="922"/>
      <c r="G36" s="922"/>
      <c r="H36" s="922"/>
      <c r="I36" s="922"/>
      <c r="J36" s="922"/>
      <c r="K36" s="922"/>
      <c r="L36" s="923"/>
    </row>
    <row r="37" spans="1:12" ht="15.75" thickBot="1" x14ac:dyDescent="0.3">
      <c r="E37" s="919"/>
      <c r="F37" s="932"/>
      <c r="G37" s="926" t="s">
        <v>679</v>
      </c>
      <c r="H37" s="922"/>
      <c r="I37" s="922"/>
      <c r="J37" s="922"/>
      <c r="K37" s="922"/>
      <c r="L37" s="923"/>
    </row>
    <row r="38" spans="1:12" ht="15.75" thickBot="1" x14ac:dyDescent="0.3">
      <c r="E38" s="933"/>
      <c r="F38" s="930"/>
      <c r="G38" s="930"/>
      <c r="H38" s="930"/>
      <c r="I38" s="930"/>
      <c r="J38" s="930"/>
      <c r="K38" s="930"/>
      <c r="L38" s="934"/>
    </row>
  </sheetData>
  <mergeCells count="14">
    <mergeCell ref="E25:L25"/>
    <mergeCell ref="R1:S1"/>
    <mergeCell ref="T1:U1"/>
    <mergeCell ref="V1:V2"/>
    <mergeCell ref="W1:Y1"/>
    <mergeCell ref="Z1:Z2"/>
    <mergeCell ref="H23:L23"/>
    <mergeCell ref="M23:Q23"/>
    <mergeCell ref="A1:D1"/>
    <mergeCell ref="E1:E2"/>
    <mergeCell ref="F1:F2"/>
    <mergeCell ref="G1:G2"/>
    <mergeCell ref="H1:L1"/>
    <mergeCell ref="M1:Q1"/>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A99DF-D071-4B09-BC72-FA1A4B8E414E}">
  <sheetPr codeName="Feuil14">
    <tabColor rgb="FF92D050"/>
  </sheetPr>
  <dimension ref="A1:J164"/>
  <sheetViews>
    <sheetView topLeftCell="A125" workbookViewId="0">
      <selection activeCell="C147" sqref="C147"/>
    </sheetView>
  </sheetViews>
  <sheetFormatPr baseColWidth="10" defaultColWidth="30.5703125" defaultRowHeight="15" x14ac:dyDescent="0.25"/>
  <cols>
    <col min="1" max="1" width="3.85546875" style="719" customWidth="1"/>
    <col min="3" max="3" width="89.5703125" customWidth="1"/>
  </cols>
  <sheetData>
    <row r="1" spans="1:10" ht="18" x14ac:dyDescent="0.25">
      <c r="A1" s="967" t="s">
        <v>94</v>
      </c>
      <c r="B1" s="967"/>
      <c r="C1" s="967"/>
      <c r="D1" s="720"/>
      <c r="E1" s="708"/>
      <c r="F1" s="709"/>
      <c r="G1" s="709"/>
      <c r="H1" s="709"/>
      <c r="I1" s="709"/>
      <c r="J1" s="709"/>
    </row>
    <row r="2" spans="1:10" x14ac:dyDescent="0.25">
      <c r="A2" s="717"/>
      <c r="B2" s="712" t="s">
        <v>95</v>
      </c>
      <c r="C2" s="711"/>
      <c r="D2" s="712"/>
      <c r="E2" s="712"/>
      <c r="F2" s="713"/>
      <c r="G2" s="713"/>
      <c r="H2" s="713"/>
      <c r="I2" s="713"/>
      <c r="J2" s="713"/>
    </row>
    <row r="3" spans="1:10" x14ac:dyDescent="0.25">
      <c r="A3" s="966" t="s">
        <v>96</v>
      </c>
      <c r="B3" s="966"/>
      <c r="C3" s="966"/>
      <c r="D3" s="711"/>
      <c r="E3" s="711"/>
      <c r="F3" s="714"/>
      <c r="G3" s="714"/>
      <c r="H3" s="714"/>
      <c r="I3" s="714"/>
      <c r="J3" s="714"/>
    </row>
    <row r="4" spans="1:10" x14ac:dyDescent="0.25">
      <c r="A4" s="961">
        <v>51</v>
      </c>
      <c r="B4" s="962" t="s">
        <v>97</v>
      </c>
      <c r="C4" s="712" t="s">
        <v>98</v>
      </c>
      <c r="D4" s="962"/>
      <c r="E4" s="962"/>
      <c r="F4" s="963"/>
      <c r="G4" s="963"/>
      <c r="H4" s="963"/>
      <c r="I4" s="963"/>
      <c r="J4" s="963"/>
    </row>
    <row r="5" spans="1:10" x14ac:dyDescent="0.25">
      <c r="A5" s="961"/>
      <c r="B5" s="962"/>
      <c r="C5" s="712" t="s">
        <v>99</v>
      </c>
      <c r="D5" s="962"/>
      <c r="E5" s="962"/>
      <c r="F5" s="963"/>
      <c r="G5" s="963"/>
      <c r="H5" s="963"/>
      <c r="I5" s="963"/>
      <c r="J5" s="963"/>
    </row>
    <row r="6" spans="1:10" x14ac:dyDescent="0.25">
      <c r="A6" s="961"/>
      <c r="B6" s="962"/>
      <c r="C6" s="712" t="s">
        <v>100</v>
      </c>
      <c r="D6" s="962"/>
      <c r="E6" s="962"/>
      <c r="F6" s="963"/>
      <c r="G6" s="963"/>
      <c r="H6" s="963"/>
      <c r="I6" s="963"/>
      <c r="J6" s="963"/>
    </row>
    <row r="7" spans="1:10" x14ac:dyDescent="0.25">
      <c r="A7" s="961"/>
      <c r="B7" s="962"/>
      <c r="C7" s="712" t="s">
        <v>101</v>
      </c>
      <c r="D7" s="962"/>
      <c r="E7" s="962"/>
      <c r="F7" s="963"/>
      <c r="G7" s="963"/>
      <c r="H7" s="963"/>
      <c r="I7" s="963"/>
      <c r="J7" s="963"/>
    </row>
    <row r="8" spans="1:10" x14ac:dyDescent="0.25">
      <c r="A8" s="961">
        <v>52</v>
      </c>
      <c r="B8" s="962" t="s">
        <v>102</v>
      </c>
      <c r="C8" s="712" t="s">
        <v>103</v>
      </c>
      <c r="D8" s="962"/>
      <c r="E8" s="962"/>
      <c r="F8" s="963"/>
      <c r="G8" s="963"/>
      <c r="H8" s="963"/>
      <c r="I8" s="963"/>
      <c r="J8" s="963"/>
    </row>
    <row r="9" spans="1:10" x14ac:dyDescent="0.25">
      <c r="A9" s="961"/>
      <c r="B9" s="962"/>
      <c r="C9" s="712" t="s">
        <v>104</v>
      </c>
      <c r="D9" s="962"/>
      <c r="E9" s="962"/>
      <c r="F9" s="963"/>
      <c r="G9" s="963"/>
      <c r="H9" s="963"/>
      <c r="I9" s="963"/>
      <c r="J9" s="963"/>
    </row>
    <row r="10" spans="1:10" x14ac:dyDescent="0.25">
      <c r="A10" s="961">
        <v>53</v>
      </c>
      <c r="B10" s="962" t="s">
        <v>105</v>
      </c>
      <c r="C10" s="712" t="s">
        <v>106</v>
      </c>
      <c r="D10" s="962"/>
      <c r="E10" s="962"/>
      <c r="F10" s="963"/>
      <c r="G10" s="963"/>
      <c r="H10" s="963"/>
      <c r="I10" s="963"/>
      <c r="J10" s="963"/>
    </row>
    <row r="11" spans="1:10" x14ac:dyDescent="0.25">
      <c r="A11" s="961"/>
      <c r="B11" s="962"/>
      <c r="C11" s="712" t="s">
        <v>107</v>
      </c>
      <c r="D11" s="962"/>
      <c r="E11" s="962"/>
      <c r="F11" s="963"/>
      <c r="G11" s="963"/>
      <c r="H11" s="963"/>
      <c r="I11" s="963"/>
      <c r="J11" s="963"/>
    </row>
    <row r="12" spans="1:10" x14ac:dyDescent="0.25">
      <c r="A12" s="966" t="s">
        <v>108</v>
      </c>
      <c r="B12" s="966"/>
      <c r="C12" s="966"/>
      <c r="D12" s="712"/>
      <c r="E12" s="712"/>
      <c r="F12" s="713"/>
      <c r="G12" s="713"/>
      <c r="H12" s="713"/>
      <c r="I12" s="713"/>
      <c r="J12" s="713"/>
    </row>
    <row r="13" spans="1:10" x14ac:dyDescent="0.25">
      <c r="A13" s="961">
        <v>110</v>
      </c>
      <c r="B13" s="962" t="s">
        <v>27</v>
      </c>
      <c r="C13" s="712" t="s">
        <v>109</v>
      </c>
      <c r="D13" s="962"/>
      <c r="E13" s="962"/>
      <c r="F13" s="963"/>
      <c r="G13" s="963"/>
      <c r="H13" s="963"/>
      <c r="I13" s="963"/>
      <c r="J13" s="963"/>
    </row>
    <row r="14" spans="1:10" x14ac:dyDescent="0.25">
      <c r="A14" s="961"/>
      <c r="B14" s="962"/>
      <c r="C14" s="712" t="s">
        <v>110</v>
      </c>
      <c r="D14" s="962"/>
      <c r="E14" s="962"/>
      <c r="F14" s="963"/>
      <c r="G14" s="963"/>
      <c r="H14" s="963"/>
      <c r="I14" s="963"/>
      <c r="J14" s="963"/>
    </row>
    <row r="15" spans="1:10" x14ac:dyDescent="0.25">
      <c r="A15" s="708" t="s">
        <v>111</v>
      </c>
      <c r="B15" s="712" t="s">
        <v>30</v>
      </c>
      <c r="C15" s="712"/>
      <c r="D15" s="712"/>
      <c r="E15" s="712"/>
      <c r="F15" s="713"/>
      <c r="G15" s="713"/>
      <c r="H15" s="713"/>
      <c r="I15" s="713"/>
      <c r="J15" s="713"/>
    </row>
    <row r="16" spans="1:10" x14ac:dyDescent="0.25">
      <c r="A16" s="961">
        <v>199</v>
      </c>
      <c r="B16" s="962" t="s">
        <v>112</v>
      </c>
      <c r="C16" s="712" t="s">
        <v>113</v>
      </c>
      <c r="D16" s="962"/>
      <c r="E16" s="962"/>
      <c r="F16" s="963"/>
      <c r="G16" s="963"/>
      <c r="H16" s="963"/>
      <c r="I16" s="963"/>
      <c r="J16" s="963"/>
    </row>
    <row r="17" spans="1:10" x14ac:dyDescent="0.25">
      <c r="A17" s="961"/>
      <c r="B17" s="962"/>
      <c r="C17" s="712" t="s">
        <v>114</v>
      </c>
      <c r="D17" s="962"/>
      <c r="E17" s="962"/>
      <c r="F17" s="963"/>
      <c r="G17" s="963"/>
      <c r="H17" s="963"/>
      <c r="I17" s="963"/>
      <c r="J17" s="963"/>
    </row>
    <row r="18" spans="1:10" x14ac:dyDescent="0.25">
      <c r="A18" s="961"/>
      <c r="B18" s="962"/>
      <c r="C18" s="712" t="s">
        <v>115</v>
      </c>
      <c r="D18" s="962"/>
      <c r="E18" s="962"/>
      <c r="F18" s="963"/>
      <c r="G18" s="963"/>
      <c r="H18" s="963"/>
      <c r="I18" s="963"/>
      <c r="J18" s="963"/>
    </row>
    <row r="19" spans="1:10" ht="22.5" x14ac:dyDescent="0.25">
      <c r="A19" s="961"/>
      <c r="B19" s="962"/>
      <c r="C19" s="712" t="s">
        <v>116</v>
      </c>
      <c r="D19" s="962"/>
      <c r="E19" s="962"/>
      <c r="F19" s="963"/>
      <c r="G19" s="963"/>
      <c r="H19" s="963"/>
      <c r="I19" s="963"/>
      <c r="J19" s="963"/>
    </row>
    <row r="20" spans="1:10" x14ac:dyDescent="0.25">
      <c r="A20" s="961"/>
      <c r="B20" s="962"/>
      <c r="C20" s="712" t="s">
        <v>117</v>
      </c>
      <c r="D20" s="962"/>
      <c r="E20" s="962"/>
      <c r="F20" s="963"/>
      <c r="G20" s="963"/>
      <c r="H20" s="963"/>
      <c r="I20" s="963"/>
      <c r="J20" s="963"/>
    </row>
    <row r="21" spans="1:10" x14ac:dyDescent="0.25">
      <c r="A21" s="961"/>
      <c r="B21" s="962"/>
      <c r="C21" s="712" t="s">
        <v>118</v>
      </c>
      <c r="D21" s="962"/>
      <c r="E21" s="962"/>
      <c r="F21" s="963"/>
      <c r="G21" s="963"/>
      <c r="H21" s="963"/>
      <c r="I21" s="963"/>
      <c r="J21" s="963"/>
    </row>
    <row r="22" spans="1:10" x14ac:dyDescent="0.25">
      <c r="A22" s="961"/>
      <c r="B22" s="962"/>
      <c r="C22" s="712" t="s">
        <v>119</v>
      </c>
      <c r="D22" s="962"/>
      <c r="E22" s="962"/>
      <c r="F22" s="963"/>
      <c r="G22" s="963"/>
      <c r="H22" s="963"/>
      <c r="I22" s="963"/>
      <c r="J22" s="963"/>
    </row>
    <row r="23" spans="1:10" x14ac:dyDescent="0.25">
      <c r="A23" s="961"/>
      <c r="B23" s="962"/>
      <c r="C23" s="712" t="s">
        <v>120</v>
      </c>
      <c r="D23" s="962"/>
      <c r="E23" s="962"/>
      <c r="F23" s="963"/>
      <c r="G23" s="963"/>
      <c r="H23" s="963"/>
      <c r="I23" s="963"/>
      <c r="J23" s="963"/>
    </row>
    <row r="24" spans="1:10" x14ac:dyDescent="0.25">
      <c r="A24" s="961"/>
      <c r="B24" s="962"/>
      <c r="C24" s="712" t="s">
        <v>121</v>
      </c>
      <c r="D24" s="962"/>
      <c r="E24" s="962"/>
      <c r="F24" s="963"/>
      <c r="G24" s="963"/>
      <c r="H24" s="963"/>
      <c r="I24" s="963"/>
      <c r="J24" s="963"/>
    </row>
    <row r="25" spans="1:10" x14ac:dyDescent="0.25">
      <c r="A25" s="961"/>
      <c r="B25" s="962"/>
      <c r="C25" s="712" t="s">
        <v>122</v>
      </c>
      <c r="D25" s="962"/>
      <c r="E25" s="962"/>
      <c r="F25" s="963"/>
      <c r="G25" s="963"/>
      <c r="H25" s="963"/>
      <c r="I25" s="963"/>
      <c r="J25" s="963"/>
    </row>
    <row r="26" spans="1:10" x14ac:dyDescent="0.25">
      <c r="A26" s="961"/>
      <c r="B26" s="962"/>
      <c r="C26" s="712" t="s">
        <v>123</v>
      </c>
      <c r="D26" s="962"/>
      <c r="E26" s="962"/>
      <c r="F26" s="963"/>
      <c r="G26" s="963"/>
      <c r="H26" s="963"/>
      <c r="I26" s="963"/>
      <c r="J26" s="963"/>
    </row>
    <row r="27" spans="1:10" x14ac:dyDescent="0.25">
      <c r="A27" s="966" t="s">
        <v>124</v>
      </c>
      <c r="B27" s="966"/>
      <c r="C27" s="966"/>
      <c r="D27" s="712"/>
      <c r="E27" s="712"/>
      <c r="F27" s="713"/>
      <c r="G27" s="713"/>
      <c r="H27" s="713"/>
      <c r="I27" s="713"/>
      <c r="J27" s="713"/>
    </row>
    <row r="28" spans="1:10" x14ac:dyDescent="0.25">
      <c r="A28" s="961">
        <v>210</v>
      </c>
      <c r="B28" s="962" t="s">
        <v>125</v>
      </c>
      <c r="C28" s="712" t="s">
        <v>126</v>
      </c>
      <c r="D28" s="962"/>
      <c r="E28" s="962"/>
      <c r="F28" s="963"/>
      <c r="G28" s="963"/>
      <c r="H28" s="963"/>
      <c r="I28" s="963"/>
      <c r="J28" s="963"/>
    </row>
    <row r="29" spans="1:10" x14ac:dyDescent="0.25">
      <c r="A29" s="961"/>
      <c r="B29" s="962"/>
      <c r="C29" s="712" t="s">
        <v>127</v>
      </c>
      <c r="D29" s="962"/>
      <c r="E29" s="962"/>
      <c r="F29" s="963"/>
      <c r="G29" s="963"/>
      <c r="H29" s="963"/>
      <c r="I29" s="963"/>
      <c r="J29" s="963"/>
    </row>
    <row r="30" spans="1:10" x14ac:dyDescent="0.25">
      <c r="A30" s="961"/>
      <c r="B30" s="962"/>
      <c r="C30" s="712" t="s">
        <v>128</v>
      </c>
      <c r="D30" s="962"/>
      <c r="E30" s="962"/>
      <c r="F30" s="963"/>
      <c r="G30" s="963"/>
      <c r="H30" s="963"/>
      <c r="I30" s="963"/>
      <c r="J30" s="963"/>
    </row>
    <row r="31" spans="1:10" x14ac:dyDescent="0.25">
      <c r="A31" s="961"/>
      <c r="B31" s="962"/>
      <c r="C31" s="712" t="s">
        <v>129</v>
      </c>
      <c r="D31" s="962"/>
      <c r="E31" s="962"/>
      <c r="F31" s="963"/>
      <c r="G31" s="963"/>
      <c r="H31" s="963"/>
      <c r="I31" s="963"/>
      <c r="J31" s="963"/>
    </row>
    <row r="32" spans="1:10" x14ac:dyDescent="0.25">
      <c r="A32" s="961"/>
      <c r="B32" s="962"/>
      <c r="C32" s="712" t="s">
        <v>130</v>
      </c>
      <c r="D32" s="962"/>
      <c r="E32" s="962"/>
      <c r="F32" s="963"/>
      <c r="G32" s="963"/>
      <c r="H32" s="963"/>
      <c r="I32" s="963"/>
      <c r="J32" s="963"/>
    </row>
    <row r="33" spans="1:10" x14ac:dyDescent="0.25">
      <c r="A33" s="961"/>
      <c r="B33" s="962" t="s">
        <v>131</v>
      </c>
      <c r="C33" s="712" t="s">
        <v>132</v>
      </c>
      <c r="D33" s="962"/>
      <c r="E33" s="962"/>
      <c r="F33" s="963"/>
      <c r="G33" s="963"/>
      <c r="H33" s="963"/>
      <c r="I33" s="963"/>
      <c r="J33" s="963"/>
    </row>
    <row r="34" spans="1:10" x14ac:dyDescent="0.25">
      <c r="A34" s="961"/>
      <c r="B34" s="962"/>
      <c r="C34" s="712" t="s">
        <v>133</v>
      </c>
      <c r="D34" s="962"/>
      <c r="E34" s="962"/>
      <c r="F34" s="963"/>
      <c r="G34" s="963"/>
      <c r="H34" s="963"/>
      <c r="I34" s="963"/>
      <c r="J34" s="963"/>
    </row>
    <row r="35" spans="1:10" x14ac:dyDescent="0.25">
      <c r="A35" s="961"/>
      <c r="B35" s="962"/>
      <c r="C35" s="712" t="s">
        <v>134</v>
      </c>
      <c r="D35" s="962"/>
      <c r="E35" s="962"/>
      <c r="F35" s="963"/>
      <c r="G35" s="963"/>
      <c r="H35" s="963"/>
      <c r="I35" s="963"/>
      <c r="J35" s="963"/>
    </row>
    <row r="36" spans="1:10" x14ac:dyDescent="0.25">
      <c r="A36" s="961"/>
      <c r="B36" s="962"/>
      <c r="C36" s="712" t="s">
        <v>135</v>
      </c>
      <c r="D36" s="962"/>
      <c r="E36" s="962"/>
      <c r="F36" s="963"/>
      <c r="G36" s="963"/>
      <c r="H36" s="963"/>
      <c r="I36" s="963"/>
      <c r="J36" s="963"/>
    </row>
    <row r="37" spans="1:10" x14ac:dyDescent="0.25">
      <c r="A37" s="961">
        <v>220</v>
      </c>
      <c r="B37" s="962" t="s">
        <v>136</v>
      </c>
      <c r="C37" s="712" t="s">
        <v>126</v>
      </c>
      <c r="D37" s="962"/>
      <c r="E37" s="962"/>
      <c r="F37" s="963"/>
      <c r="G37" s="963"/>
      <c r="H37" s="963"/>
      <c r="I37" s="963"/>
      <c r="J37" s="963"/>
    </row>
    <row r="38" spans="1:10" x14ac:dyDescent="0.25">
      <c r="A38" s="961"/>
      <c r="B38" s="962"/>
      <c r="C38" s="712" t="s">
        <v>137</v>
      </c>
      <c r="D38" s="962"/>
      <c r="E38" s="962"/>
      <c r="F38" s="963"/>
      <c r="G38" s="963"/>
      <c r="H38" s="963"/>
      <c r="I38" s="963"/>
      <c r="J38" s="963"/>
    </row>
    <row r="39" spans="1:10" x14ac:dyDescent="0.25">
      <c r="A39" s="961"/>
      <c r="B39" s="962"/>
      <c r="C39" s="712" t="s">
        <v>138</v>
      </c>
      <c r="D39" s="962"/>
      <c r="E39" s="962"/>
      <c r="F39" s="963"/>
      <c r="G39" s="963"/>
      <c r="H39" s="963"/>
      <c r="I39" s="963"/>
      <c r="J39" s="963"/>
    </row>
    <row r="40" spans="1:10" x14ac:dyDescent="0.25">
      <c r="A40" s="961"/>
      <c r="B40" s="962" t="s">
        <v>139</v>
      </c>
      <c r="C40" s="712" t="s">
        <v>132</v>
      </c>
      <c r="D40" s="962"/>
      <c r="E40" s="962"/>
      <c r="F40" s="963"/>
      <c r="G40" s="963"/>
      <c r="H40" s="963"/>
      <c r="I40" s="963"/>
      <c r="J40" s="963"/>
    </row>
    <row r="41" spans="1:10" x14ac:dyDescent="0.25">
      <c r="A41" s="961"/>
      <c r="B41" s="962"/>
      <c r="C41" s="712" t="s">
        <v>133</v>
      </c>
      <c r="D41" s="962"/>
      <c r="E41" s="962"/>
      <c r="F41" s="963"/>
      <c r="G41" s="963"/>
      <c r="H41" s="963"/>
      <c r="I41" s="963"/>
      <c r="J41" s="963"/>
    </row>
    <row r="42" spans="1:10" x14ac:dyDescent="0.25">
      <c r="A42" s="961"/>
      <c r="B42" s="962"/>
      <c r="C42" s="712" t="s">
        <v>134</v>
      </c>
      <c r="D42" s="962"/>
      <c r="E42" s="962"/>
      <c r="F42" s="963"/>
      <c r="G42" s="963"/>
      <c r="H42" s="963"/>
      <c r="I42" s="963"/>
      <c r="J42" s="963"/>
    </row>
    <row r="43" spans="1:10" x14ac:dyDescent="0.25">
      <c r="A43" s="961"/>
      <c r="B43" s="962"/>
      <c r="C43" s="712" t="s">
        <v>140</v>
      </c>
      <c r="D43" s="962"/>
      <c r="E43" s="962"/>
      <c r="F43" s="963"/>
      <c r="G43" s="963"/>
      <c r="H43" s="963"/>
      <c r="I43" s="963"/>
      <c r="J43" s="963"/>
    </row>
    <row r="44" spans="1:10" x14ac:dyDescent="0.25">
      <c r="A44" s="961">
        <v>299</v>
      </c>
      <c r="B44" s="962" t="s">
        <v>42</v>
      </c>
      <c r="C44" s="712" t="s">
        <v>141</v>
      </c>
      <c r="D44" s="962"/>
      <c r="E44" s="962"/>
      <c r="F44" s="963"/>
      <c r="G44" s="963"/>
      <c r="H44" s="963"/>
      <c r="I44" s="963"/>
      <c r="J44" s="963"/>
    </row>
    <row r="45" spans="1:10" x14ac:dyDescent="0.25">
      <c r="A45" s="961"/>
      <c r="B45" s="962"/>
      <c r="C45" s="712" t="s">
        <v>142</v>
      </c>
      <c r="D45" s="962"/>
      <c r="E45" s="962"/>
      <c r="F45" s="963"/>
      <c r="G45" s="963"/>
      <c r="H45" s="963"/>
      <c r="I45" s="963"/>
      <c r="J45" s="963"/>
    </row>
    <row r="46" spans="1:10" x14ac:dyDescent="0.25">
      <c r="A46" s="961"/>
      <c r="B46" s="962"/>
      <c r="C46" s="712" t="s">
        <v>143</v>
      </c>
      <c r="D46" s="962"/>
      <c r="E46" s="962"/>
      <c r="F46" s="963"/>
      <c r="G46" s="963"/>
      <c r="H46" s="963"/>
      <c r="I46" s="963"/>
      <c r="J46" s="963"/>
    </row>
    <row r="47" spans="1:10" x14ac:dyDescent="0.25">
      <c r="A47" s="961"/>
      <c r="B47" s="962"/>
      <c r="C47" s="712" t="s">
        <v>144</v>
      </c>
      <c r="D47" s="962"/>
      <c r="E47" s="962"/>
      <c r="F47" s="963"/>
      <c r="G47" s="963"/>
      <c r="H47" s="963"/>
      <c r="I47" s="963"/>
      <c r="J47" s="963"/>
    </row>
    <row r="48" spans="1:10" x14ac:dyDescent="0.25">
      <c r="A48" s="961"/>
      <c r="B48" s="962"/>
      <c r="C48" s="712" t="s">
        <v>145</v>
      </c>
      <c r="D48" s="962"/>
      <c r="E48" s="962"/>
      <c r="F48" s="963"/>
      <c r="G48" s="963"/>
      <c r="H48" s="963"/>
      <c r="I48" s="963"/>
      <c r="J48" s="963"/>
    </row>
    <row r="49" spans="1:10" x14ac:dyDescent="0.25">
      <c r="A49" s="961"/>
      <c r="B49" s="962"/>
      <c r="C49" s="712" t="s">
        <v>146</v>
      </c>
      <c r="D49" s="962"/>
      <c r="E49" s="962"/>
      <c r="F49" s="963"/>
      <c r="G49" s="963"/>
      <c r="H49" s="963"/>
      <c r="I49" s="963"/>
      <c r="J49" s="963"/>
    </row>
    <row r="50" spans="1:10" x14ac:dyDescent="0.25">
      <c r="A50" s="961"/>
      <c r="B50" s="962"/>
      <c r="C50" s="712" t="s">
        <v>147</v>
      </c>
      <c r="D50" s="962"/>
      <c r="E50" s="962"/>
      <c r="F50" s="963"/>
      <c r="G50" s="963"/>
      <c r="H50" s="963"/>
      <c r="I50" s="963"/>
      <c r="J50" s="963"/>
    </row>
    <row r="51" spans="1:10" x14ac:dyDescent="0.25">
      <c r="A51" s="961"/>
      <c r="B51" s="962"/>
      <c r="C51" s="712" t="s">
        <v>148</v>
      </c>
      <c r="D51" s="962"/>
      <c r="E51" s="962"/>
      <c r="F51" s="963"/>
      <c r="G51" s="963"/>
      <c r="H51" s="963"/>
      <c r="I51" s="963"/>
      <c r="J51" s="963"/>
    </row>
    <row r="52" spans="1:10" x14ac:dyDescent="0.25">
      <c r="A52" s="966" t="s">
        <v>149</v>
      </c>
      <c r="B52" s="966"/>
      <c r="C52" s="966"/>
      <c r="D52" s="712"/>
      <c r="E52" s="712"/>
      <c r="F52" s="713"/>
      <c r="G52" s="713"/>
      <c r="H52" s="713"/>
      <c r="I52" s="713"/>
      <c r="J52" s="713"/>
    </row>
    <row r="53" spans="1:10" x14ac:dyDescent="0.25">
      <c r="A53" s="961">
        <v>310</v>
      </c>
      <c r="B53" s="962" t="s">
        <v>46</v>
      </c>
      <c r="C53" s="712" t="s">
        <v>150</v>
      </c>
      <c r="D53" s="964"/>
      <c r="E53" s="962"/>
      <c r="F53" s="963"/>
      <c r="G53" s="963"/>
      <c r="H53" s="963"/>
      <c r="I53" s="963"/>
      <c r="J53" s="963"/>
    </row>
    <row r="54" spans="1:10" x14ac:dyDescent="0.25">
      <c r="A54" s="961"/>
      <c r="B54" s="962"/>
      <c r="C54" s="712" t="s">
        <v>151</v>
      </c>
      <c r="D54" s="964"/>
      <c r="E54" s="962"/>
      <c r="F54" s="963"/>
      <c r="G54" s="963"/>
      <c r="H54" s="963"/>
      <c r="I54" s="963"/>
      <c r="J54" s="963"/>
    </row>
    <row r="55" spans="1:10" x14ac:dyDescent="0.25">
      <c r="A55" s="961"/>
      <c r="B55" s="962"/>
      <c r="C55" s="712" t="s">
        <v>152</v>
      </c>
      <c r="D55" s="964"/>
      <c r="E55" s="962"/>
      <c r="F55" s="963"/>
      <c r="G55" s="963"/>
      <c r="H55" s="963"/>
      <c r="I55" s="963"/>
      <c r="J55" s="963"/>
    </row>
    <row r="56" spans="1:10" x14ac:dyDescent="0.25">
      <c r="A56" s="961"/>
      <c r="B56" s="962"/>
      <c r="C56" s="712" t="s">
        <v>153</v>
      </c>
      <c r="D56" s="964"/>
      <c r="E56" s="962"/>
      <c r="F56" s="963"/>
      <c r="G56" s="963"/>
      <c r="H56" s="963"/>
      <c r="I56" s="963"/>
      <c r="J56" s="963"/>
    </row>
    <row r="57" spans="1:10" x14ac:dyDescent="0.25">
      <c r="A57" s="961"/>
      <c r="B57" s="962"/>
      <c r="C57" s="712" t="s">
        <v>154</v>
      </c>
      <c r="D57" s="964"/>
      <c r="E57" s="962"/>
      <c r="F57" s="963"/>
      <c r="G57" s="963"/>
      <c r="H57" s="963"/>
      <c r="I57" s="963"/>
      <c r="J57" s="963"/>
    </row>
    <row r="58" spans="1:10" x14ac:dyDescent="0.25">
      <c r="A58" s="961"/>
      <c r="B58" s="962"/>
      <c r="C58" s="712" t="s">
        <v>155</v>
      </c>
      <c r="D58" s="964"/>
      <c r="E58" s="962"/>
      <c r="F58" s="963"/>
      <c r="G58" s="963"/>
      <c r="H58" s="963"/>
      <c r="I58" s="963"/>
      <c r="J58" s="963"/>
    </row>
    <row r="59" spans="1:10" x14ac:dyDescent="0.25">
      <c r="A59" s="961"/>
      <c r="B59" s="962"/>
      <c r="C59" s="712" t="s">
        <v>156</v>
      </c>
      <c r="D59" s="964"/>
      <c r="E59" s="962"/>
      <c r="F59" s="963"/>
      <c r="G59" s="963"/>
      <c r="H59" s="963"/>
      <c r="I59" s="963"/>
      <c r="J59" s="963"/>
    </row>
    <row r="60" spans="1:10" x14ac:dyDescent="0.25">
      <c r="A60" s="961">
        <v>351</v>
      </c>
      <c r="B60" s="962" t="s">
        <v>157</v>
      </c>
      <c r="C60" s="712" t="s">
        <v>158</v>
      </c>
      <c r="D60" s="964"/>
      <c r="E60" s="962"/>
      <c r="F60" s="963"/>
      <c r="G60" s="963"/>
      <c r="H60" s="963"/>
      <c r="I60" s="963"/>
      <c r="J60" s="963"/>
    </row>
    <row r="61" spans="1:10" x14ac:dyDescent="0.25">
      <c r="A61" s="961"/>
      <c r="B61" s="962"/>
      <c r="C61" s="712" t="s">
        <v>159</v>
      </c>
      <c r="D61" s="964"/>
      <c r="E61" s="962"/>
      <c r="F61" s="963"/>
      <c r="G61" s="963"/>
      <c r="H61" s="963"/>
      <c r="I61" s="963"/>
      <c r="J61" s="963"/>
    </row>
    <row r="62" spans="1:10" x14ac:dyDescent="0.25">
      <c r="A62" s="961"/>
      <c r="B62" s="962"/>
      <c r="C62" s="712" t="s">
        <v>160</v>
      </c>
      <c r="D62" s="964"/>
      <c r="E62" s="962"/>
      <c r="F62" s="963"/>
      <c r="G62" s="963"/>
      <c r="H62" s="963"/>
      <c r="I62" s="963"/>
      <c r="J62" s="963"/>
    </row>
    <row r="63" spans="1:10" x14ac:dyDescent="0.25">
      <c r="A63" s="961"/>
      <c r="B63" s="962"/>
      <c r="C63" s="712" t="s">
        <v>161</v>
      </c>
      <c r="D63" s="964"/>
      <c r="E63" s="962"/>
      <c r="F63" s="963"/>
      <c r="G63" s="963"/>
      <c r="H63" s="963"/>
      <c r="I63" s="963"/>
      <c r="J63" s="963"/>
    </row>
    <row r="64" spans="1:10" x14ac:dyDescent="0.25">
      <c r="A64" s="961"/>
      <c r="B64" s="962"/>
      <c r="C64" s="712" t="s">
        <v>162</v>
      </c>
      <c r="D64" s="964"/>
      <c r="E64" s="962"/>
      <c r="F64" s="963"/>
      <c r="G64" s="963"/>
      <c r="H64" s="963"/>
      <c r="I64" s="963"/>
      <c r="J64" s="963"/>
    </row>
    <row r="65" spans="1:10" x14ac:dyDescent="0.25">
      <c r="A65" s="961"/>
      <c r="B65" s="962"/>
      <c r="C65" s="712" t="s">
        <v>163</v>
      </c>
      <c r="D65" s="964"/>
      <c r="E65" s="962"/>
      <c r="F65" s="963"/>
      <c r="G65" s="963"/>
      <c r="H65" s="963"/>
      <c r="I65" s="963"/>
      <c r="J65" s="963"/>
    </row>
    <row r="66" spans="1:10" x14ac:dyDescent="0.25">
      <c r="A66" s="961"/>
      <c r="B66" s="962"/>
      <c r="C66" s="712" t="s">
        <v>164</v>
      </c>
      <c r="D66" s="964"/>
      <c r="E66" s="962"/>
      <c r="F66" s="963"/>
      <c r="G66" s="963"/>
      <c r="H66" s="963"/>
      <c r="I66" s="963"/>
      <c r="J66" s="963"/>
    </row>
    <row r="67" spans="1:10" x14ac:dyDescent="0.25">
      <c r="A67" s="961">
        <v>352</v>
      </c>
      <c r="B67" s="962" t="s">
        <v>165</v>
      </c>
      <c r="C67" s="712" t="s">
        <v>166</v>
      </c>
      <c r="D67" s="964"/>
      <c r="E67" s="962"/>
      <c r="F67" s="963"/>
      <c r="G67" s="963"/>
      <c r="H67" s="963"/>
      <c r="I67" s="963"/>
      <c r="J67" s="963"/>
    </row>
    <row r="68" spans="1:10" x14ac:dyDescent="0.25">
      <c r="A68" s="961"/>
      <c r="B68" s="962"/>
      <c r="C68" s="712" t="s">
        <v>167</v>
      </c>
      <c r="D68" s="964"/>
      <c r="E68" s="962"/>
      <c r="F68" s="963"/>
      <c r="G68" s="963"/>
      <c r="H68" s="963"/>
      <c r="I68" s="963"/>
      <c r="J68" s="963"/>
    </row>
    <row r="69" spans="1:10" x14ac:dyDescent="0.25">
      <c r="A69" s="961"/>
      <c r="B69" s="962"/>
      <c r="C69" s="712" t="s">
        <v>168</v>
      </c>
      <c r="D69" s="964"/>
      <c r="E69" s="962"/>
      <c r="F69" s="963"/>
      <c r="G69" s="963"/>
      <c r="H69" s="963"/>
      <c r="I69" s="963"/>
      <c r="J69" s="963"/>
    </row>
    <row r="70" spans="1:10" x14ac:dyDescent="0.25">
      <c r="A70" s="961"/>
      <c r="B70" s="962"/>
      <c r="C70" s="712" t="s">
        <v>169</v>
      </c>
      <c r="D70" s="964"/>
      <c r="E70" s="962"/>
      <c r="F70" s="963"/>
      <c r="G70" s="963"/>
      <c r="H70" s="963"/>
      <c r="I70" s="963"/>
      <c r="J70" s="963"/>
    </row>
    <row r="71" spans="1:10" x14ac:dyDescent="0.25">
      <c r="A71" s="961"/>
      <c r="B71" s="962"/>
      <c r="C71" s="712" t="s">
        <v>170</v>
      </c>
      <c r="D71" s="964"/>
      <c r="E71" s="962"/>
      <c r="F71" s="963"/>
      <c r="G71" s="963"/>
      <c r="H71" s="963"/>
      <c r="I71" s="963"/>
      <c r="J71" s="963"/>
    </row>
    <row r="72" spans="1:10" x14ac:dyDescent="0.25">
      <c r="A72" s="961"/>
      <c r="B72" s="962"/>
      <c r="C72" s="712" t="s">
        <v>171</v>
      </c>
      <c r="D72" s="964"/>
      <c r="E72" s="962"/>
      <c r="F72" s="963"/>
      <c r="G72" s="963"/>
      <c r="H72" s="963"/>
      <c r="I72" s="963"/>
      <c r="J72" s="963"/>
    </row>
    <row r="73" spans="1:10" x14ac:dyDescent="0.25">
      <c r="A73" s="961"/>
      <c r="B73" s="962"/>
      <c r="C73" s="712" t="s">
        <v>172</v>
      </c>
      <c r="D73" s="964"/>
      <c r="E73" s="962"/>
      <c r="F73" s="963"/>
      <c r="G73" s="963"/>
      <c r="H73" s="963"/>
      <c r="I73" s="963"/>
      <c r="J73" s="963"/>
    </row>
    <row r="74" spans="1:10" x14ac:dyDescent="0.25">
      <c r="A74" s="961"/>
      <c r="B74" s="962"/>
      <c r="C74" s="712" t="s">
        <v>173</v>
      </c>
      <c r="D74" s="964"/>
      <c r="E74" s="962"/>
      <c r="F74" s="963"/>
      <c r="G74" s="963"/>
      <c r="H74" s="963"/>
      <c r="I74" s="963"/>
      <c r="J74" s="963"/>
    </row>
    <row r="75" spans="1:10" x14ac:dyDescent="0.25">
      <c r="A75" s="961"/>
      <c r="B75" s="962"/>
      <c r="C75" s="712" t="s">
        <v>174</v>
      </c>
      <c r="D75" s="964"/>
      <c r="E75" s="962"/>
      <c r="F75" s="963"/>
      <c r="G75" s="963"/>
      <c r="H75" s="963"/>
      <c r="I75" s="963"/>
      <c r="J75" s="963"/>
    </row>
    <row r="76" spans="1:10" x14ac:dyDescent="0.25">
      <c r="A76" s="961">
        <v>399</v>
      </c>
      <c r="B76" s="962" t="s">
        <v>56</v>
      </c>
      <c r="C76" s="712" t="s">
        <v>175</v>
      </c>
      <c r="D76" s="962"/>
      <c r="E76" s="962"/>
      <c r="F76" s="963"/>
      <c r="G76" s="963"/>
      <c r="H76" s="963"/>
      <c r="I76" s="963"/>
      <c r="J76" s="963"/>
    </row>
    <row r="77" spans="1:10" x14ac:dyDescent="0.25">
      <c r="A77" s="961"/>
      <c r="B77" s="962"/>
      <c r="C77" s="712" t="s">
        <v>176</v>
      </c>
      <c r="D77" s="962"/>
      <c r="E77" s="962"/>
      <c r="F77" s="963"/>
      <c r="G77" s="963"/>
      <c r="H77" s="963"/>
      <c r="I77" s="963"/>
      <c r="J77" s="963"/>
    </row>
    <row r="78" spans="1:10" x14ac:dyDescent="0.25">
      <c r="A78" s="961"/>
      <c r="B78" s="962"/>
      <c r="C78" s="712" t="s">
        <v>177</v>
      </c>
      <c r="D78" s="962"/>
      <c r="E78" s="962"/>
      <c r="F78" s="963"/>
      <c r="G78" s="963"/>
      <c r="H78" s="963"/>
      <c r="I78" s="963"/>
      <c r="J78" s="963"/>
    </row>
    <row r="79" spans="1:10" x14ac:dyDescent="0.25">
      <c r="A79" s="966" t="s">
        <v>178</v>
      </c>
      <c r="B79" s="966"/>
      <c r="C79" s="966"/>
      <c r="D79" s="712"/>
      <c r="E79" s="712"/>
      <c r="F79" s="713"/>
      <c r="G79" s="713"/>
      <c r="H79" s="713"/>
      <c r="I79" s="713"/>
      <c r="J79" s="713"/>
    </row>
    <row r="80" spans="1:10" x14ac:dyDescent="0.25">
      <c r="A80" s="961">
        <v>410</v>
      </c>
      <c r="B80" s="962" t="s">
        <v>179</v>
      </c>
      <c r="C80" s="715" t="s">
        <v>180</v>
      </c>
      <c r="D80" s="962"/>
      <c r="E80" s="962"/>
      <c r="F80" s="963"/>
      <c r="G80" s="963"/>
      <c r="H80" s="963"/>
      <c r="I80" s="963"/>
      <c r="J80" s="963"/>
    </row>
    <row r="81" spans="1:10" x14ac:dyDescent="0.25">
      <c r="A81" s="961"/>
      <c r="B81" s="962"/>
      <c r="C81" s="715" t="s">
        <v>181</v>
      </c>
      <c r="D81" s="962"/>
      <c r="E81" s="962"/>
      <c r="F81" s="963"/>
      <c r="G81" s="963"/>
      <c r="H81" s="963"/>
      <c r="I81" s="963"/>
      <c r="J81" s="963"/>
    </row>
    <row r="82" spans="1:10" x14ac:dyDescent="0.25">
      <c r="A82" s="961"/>
      <c r="B82" s="962"/>
      <c r="C82" s="715" t="s">
        <v>182</v>
      </c>
      <c r="D82" s="962"/>
      <c r="E82" s="962"/>
      <c r="F82" s="963"/>
      <c r="G82" s="963"/>
      <c r="H82" s="963"/>
      <c r="I82" s="963"/>
      <c r="J82" s="963"/>
    </row>
    <row r="83" spans="1:10" x14ac:dyDescent="0.25">
      <c r="A83" s="961"/>
      <c r="B83" s="962"/>
      <c r="C83" s="715" t="s">
        <v>183</v>
      </c>
      <c r="D83" s="962"/>
      <c r="E83" s="962"/>
      <c r="F83" s="963"/>
      <c r="G83" s="963"/>
      <c r="H83" s="963"/>
      <c r="I83" s="963"/>
      <c r="J83" s="963"/>
    </row>
    <row r="84" spans="1:10" x14ac:dyDescent="0.25">
      <c r="A84" s="961"/>
      <c r="B84" s="962"/>
      <c r="C84" s="715" t="s">
        <v>184</v>
      </c>
      <c r="D84" s="962"/>
      <c r="E84" s="962"/>
      <c r="F84" s="963"/>
      <c r="G84" s="963"/>
      <c r="H84" s="963"/>
      <c r="I84" s="963"/>
      <c r="J84" s="963"/>
    </row>
    <row r="85" spans="1:10" x14ac:dyDescent="0.25">
      <c r="A85" s="961"/>
      <c r="B85" s="962"/>
      <c r="C85" s="715" t="s">
        <v>185</v>
      </c>
      <c r="D85" s="962"/>
      <c r="E85" s="962"/>
      <c r="F85" s="963"/>
      <c r="G85" s="963"/>
      <c r="H85" s="963"/>
      <c r="I85" s="963"/>
      <c r="J85" s="963"/>
    </row>
    <row r="86" spans="1:10" x14ac:dyDescent="0.25">
      <c r="A86" s="961"/>
      <c r="B86" s="962"/>
      <c r="C86" s="715" t="s">
        <v>186</v>
      </c>
      <c r="D86" s="962"/>
      <c r="E86" s="962"/>
      <c r="F86" s="963"/>
      <c r="G86" s="963"/>
      <c r="H86" s="963"/>
      <c r="I86" s="963"/>
      <c r="J86" s="963"/>
    </row>
    <row r="87" spans="1:10" x14ac:dyDescent="0.25">
      <c r="A87" s="961"/>
      <c r="B87" s="962"/>
      <c r="C87" s="715" t="s">
        <v>187</v>
      </c>
      <c r="D87" s="962"/>
      <c r="E87" s="962"/>
      <c r="F87" s="963"/>
      <c r="G87" s="963"/>
      <c r="H87" s="963"/>
      <c r="I87" s="963"/>
      <c r="J87" s="963"/>
    </row>
    <row r="88" spans="1:10" x14ac:dyDescent="0.25">
      <c r="A88" s="961"/>
      <c r="B88" s="962"/>
      <c r="C88" s="715" t="s">
        <v>188</v>
      </c>
      <c r="D88" s="962"/>
      <c r="E88" s="962"/>
      <c r="F88" s="963"/>
      <c r="G88" s="963"/>
      <c r="H88" s="963"/>
      <c r="I88" s="963"/>
      <c r="J88" s="963"/>
    </row>
    <row r="89" spans="1:10" ht="45" x14ac:dyDescent="0.25">
      <c r="A89" s="961"/>
      <c r="B89" s="962"/>
      <c r="C89" s="715" t="s">
        <v>189</v>
      </c>
      <c r="D89" s="962"/>
      <c r="E89" s="962"/>
      <c r="F89" s="963"/>
      <c r="G89" s="963"/>
      <c r="H89" s="963"/>
      <c r="I89" s="963"/>
      <c r="J89" s="963"/>
    </row>
    <row r="90" spans="1:10" x14ac:dyDescent="0.25">
      <c r="A90" s="961" t="s">
        <v>190</v>
      </c>
      <c r="B90" s="962" t="s">
        <v>63</v>
      </c>
      <c r="C90" s="715" t="s">
        <v>191</v>
      </c>
      <c r="D90" s="962"/>
      <c r="E90" s="962"/>
      <c r="F90" s="963"/>
      <c r="G90" s="963"/>
      <c r="H90" s="963"/>
      <c r="I90" s="963"/>
      <c r="J90" s="963"/>
    </row>
    <row r="91" spans="1:10" x14ac:dyDescent="0.25">
      <c r="A91" s="961"/>
      <c r="B91" s="962"/>
      <c r="C91" s="715" t="s">
        <v>192</v>
      </c>
      <c r="D91" s="962"/>
      <c r="E91" s="962"/>
      <c r="F91" s="963"/>
      <c r="G91" s="963"/>
      <c r="H91" s="963"/>
      <c r="I91" s="963"/>
      <c r="J91" s="963"/>
    </row>
    <row r="92" spans="1:10" x14ac:dyDescent="0.25">
      <c r="A92" s="961"/>
      <c r="B92" s="962"/>
      <c r="C92" s="715" t="s">
        <v>193</v>
      </c>
      <c r="D92" s="962"/>
      <c r="E92" s="962"/>
      <c r="F92" s="963"/>
      <c r="G92" s="963"/>
      <c r="H92" s="963"/>
      <c r="I92" s="963"/>
      <c r="J92" s="963"/>
    </row>
    <row r="93" spans="1:10" x14ac:dyDescent="0.25">
      <c r="A93" s="961"/>
      <c r="B93" s="962"/>
      <c r="C93" s="715" t="s">
        <v>194</v>
      </c>
      <c r="D93" s="962"/>
      <c r="E93" s="962"/>
      <c r="F93" s="963"/>
      <c r="G93" s="963"/>
      <c r="H93" s="963"/>
      <c r="I93" s="963"/>
      <c r="J93" s="963"/>
    </row>
    <row r="94" spans="1:10" x14ac:dyDescent="0.25">
      <c r="A94" s="961"/>
      <c r="B94" s="962"/>
      <c r="C94" s="715" t="s">
        <v>195</v>
      </c>
      <c r="D94" s="962"/>
      <c r="E94" s="962"/>
      <c r="F94" s="963"/>
      <c r="G94" s="963"/>
      <c r="H94" s="963"/>
      <c r="I94" s="963"/>
      <c r="J94" s="963"/>
    </row>
    <row r="95" spans="1:10" x14ac:dyDescent="0.25">
      <c r="A95" s="961"/>
      <c r="B95" s="962"/>
      <c r="C95" s="715" t="s">
        <v>196</v>
      </c>
      <c r="D95" s="962"/>
      <c r="E95" s="962"/>
      <c r="F95" s="963"/>
      <c r="G95" s="963"/>
      <c r="H95" s="963"/>
      <c r="I95" s="963"/>
      <c r="J95" s="963"/>
    </row>
    <row r="96" spans="1:10" x14ac:dyDescent="0.25">
      <c r="A96" s="961"/>
      <c r="B96" s="962"/>
      <c r="C96" s="715" t="s">
        <v>197</v>
      </c>
      <c r="D96" s="962"/>
      <c r="E96" s="962"/>
      <c r="F96" s="963"/>
      <c r="G96" s="963"/>
      <c r="H96" s="963"/>
      <c r="I96" s="963"/>
      <c r="J96" s="963"/>
    </row>
    <row r="97" spans="1:10" x14ac:dyDescent="0.25">
      <c r="A97" s="966" t="s">
        <v>198</v>
      </c>
      <c r="B97" s="966"/>
      <c r="C97" s="966"/>
      <c r="D97" s="712"/>
      <c r="E97" s="712"/>
      <c r="F97" s="713"/>
      <c r="G97" s="713"/>
      <c r="H97" s="713"/>
      <c r="I97" s="713"/>
      <c r="J97" s="713"/>
    </row>
    <row r="98" spans="1:10" x14ac:dyDescent="0.25">
      <c r="A98" s="961">
        <v>510</v>
      </c>
      <c r="B98" s="962" t="s">
        <v>67</v>
      </c>
      <c r="C98" s="715" t="s">
        <v>199</v>
      </c>
      <c r="D98" s="965"/>
      <c r="E98" s="962"/>
      <c r="F98" s="963"/>
      <c r="G98" s="963"/>
      <c r="H98" s="963"/>
      <c r="I98" s="963"/>
      <c r="J98" s="963"/>
    </row>
    <row r="99" spans="1:10" x14ac:dyDescent="0.25">
      <c r="A99" s="961"/>
      <c r="B99" s="962"/>
      <c r="C99" s="715" t="s">
        <v>200</v>
      </c>
      <c r="D99" s="965"/>
      <c r="E99" s="962"/>
      <c r="F99" s="963"/>
      <c r="G99" s="963"/>
      <c r="H99" s="963"/>
      <c r="I99" s="963"/>
      <c r="J99" s="963"/>
    </row>
    <row r="100" spans="1:10" x14ac:dyDescent="0.25">
      <c r="A100" s="961"/>
      <c r="B100" s="962"/>
      <c r="C100" s="715" t="s">
        <v>201</v>
      </c>
      <c r="D100" s="965"/>
      <c r="E100" s="962"/>
      <c r="F100" s="963"/>
      <c r="G100" s="963"/>
      <c r="H100" s="963"/>
      <c r="I100" s="963"/>
      <c r="J100" s="963"/>
    </row>
    <row r="101" spans="1:10" x14ac:dyDescent="0.25">
      <c r="A101" s="961"/>
      <c r="B101" s="962"/>
      <c r="C101" s="715" t="s">
        <v>202</v>
      </c>
      <c r="D101" s="965"/>
      <c r="E101" s="962"/>
      <c r="F101" s="963"/>
      <c r="G101" s="963"/>
      <c r="H101" s="963"/>
      <c r="I101" s="963"/>
      <c r="J101" s="963"/>
    </row>
    <row r="102" spans="1:10" x14ac:dyDescent="0.25">
      <c r="A102" s="961"/>
      <c r="B102" s="962"/>
      <c r="C102" s="715" t="s">
        <v>203</v>
      </c>
      <c r="D102" s="965"/>
      <c r="E102" s="962"/>
      <c r="F102" s="963"/>
      <c r="G102" s="963"/>
      <c r="H102" s="963"/>
      <c r="I102" s="963"/>
      <c r="J102" s="963"/>
    </row>
    <row r="103" spans="1:10" x14ac:dyDescent="0.25">
      <c r="A103" s="961"/>
      <c r="B103" s="962"/>
      <c r="C103" s="715" t="s">
        <v>204</v>
      </c>
      <c r="D103" s="965"/>
      <c r="E103" s="962"/>
      <c r="F103" s="963"/>
      <c r="G103" s="963"/>
      <c r="H103" s="963"/>
      <c r="I103" s="963"/>
      <c r="J103" s="963"/>
    </row>
    <row r="104" spans="1:10" x14ac:dyDescent="0.25">
      <c r="A104" s="961"/>
      <c r="B104" s="962"/>
      <c r="C104" s="715" t="s">
        <v>205</v>
      </c>
      <c r="D104" s="965"/>
      <c r="E104" s="962"/>
      <c r="F104" s="963"/>
      <c r="G104" s="963"/>
      <c r="H104" s="963"/>
      <c r="I104" s="963"/>
      <c r="J104" s="963"/>
    </row>
    <row r="105" spans="1:10" x14ac:dyDescent="0.25">
      <c r="A105" s="961"/>
      <c r="B105" s="962"/>
      <c r="C105" s="715" t="s">
        <v>206</v>
      </c>
      <c r="D105" s="965"/>
      <c r="E105" s="962"/>
      <c r="F105" s="963"/>
      <c r="G105" s="963"/>
      <c r="H105" s="963"/>
      <c r="I105" s="963"/>
      <c r="J105" s="963"/>
    </row>
    <row r="106" spans="1:10" x14ac:dyDescent="0.25">
      <c r="A106" s="961"/>
      <c r="B106" s="962"/>
      <c r="C106" s="715" t="s">
        <v>207</v>
      </c>
      <c r="D106" s="965"/>
      <c r="E106" s="962"/>
      <c r="F106" s="963"/>
      <c r="G106" s="963"/>
      <c r="H106" s="963"/>
      <c r="I106" s="963"/>
      <c r="J106" s="963"/>
    </row>
    <row r="107" spans="1:10" x14ac:dyDescent="0.25">
      <c r="A107" s="961"/>
      <c r="B107" s="962"/>
      <c r="C107" s="715" t="s">
        <v>208</v>
      </c>
      <c r="D107" s="965"/>
      <c r="E107" s="962"/>
      <c r="F107" s="963"/>
      <c r="G107" s="963"/>
      <c r="H107" s="963"/>
      <c r="I107" s="963"/>
      <c r="J107" s="963"/>
    </row>
    <row r="108" spans="1:10" x14ac:dyDescent="0.25">
      <c r="A108" s="961"/>
      <c r="B108" s="962"/>
      <c r="C108" s="715" t="s">
        <v>209</v>
      </c>
      <c r="D108" s="965"/>
      <c r="E108" s="962"/>
      <c r="F108" s="963"/>
      <c r="G108" s="963"/>
      <c r="H108" s="963"/>
      <c r="I108" s="963"/>
      <c r="J108" s="963"/>
    </row>
    <row r="109" spans="1:10" ht="33.75" x14ac:dyDescent="0.25">
      <c r="A109" s="961"/>
      <c r="B109" s="962"/>
      <c r="C109" s="715" t="s">
        <v>210</v>
      </c>
      <c r="D109" s="965"/>
      <c r="E109" s="962"/>
      <c r="F109" s="963"/>
      <c r="G109" s="963"/>
      <c r="H109" s="963"/>
      <c r="I109" s="963"/>
      <c r="J109" s="963"/>
    </row>
    <row r="110" spans="1:10" x14ac:dyDescent="0.25">
      <c r="A110" s="961">
        <v>599</v>
      </c>
      <c r="B110" s="962" t="s">
        <v>211</v>
      </c>
      <c r="C110" s="716" t="s">
        <v>212</v>
      </c>
      <c r="D110" s="962"/>
      <c r="E110" s="962"/>
      <c r="F110" s="963"/>
      <c r="G110" s="963"/>
      <c r="H110" s="963"/>
      <c r="I110" s="963"/>
      <c r="J110" s="963"/>
    </row>
    <row r="111" spans="1:10" x14ac:dyDescent="0.25">
      <c r="A111" s="961"/>
      <c r="B111" s="962"/>
      <c r="C111" s="715" t="s">
        <v>213</v>
      </c>
      <c r="D111" s="962"/>
      <c r="E111" s="962"/>
      <c r="F111" s="963"/>
      <c r="G111" s="963"/>
      <c r="H111" s="963"/>
      <c r="I111" s="963"/>
      <c r="J111" s="963"/>
    </row>
    <row r="112" spans="1:10" x14ac:dyDescent="0.25">
      <c r="A112" s="961"/>
      <c r="B112" s="962"/>
      <c r="C112" s="715" t="s">
        <v>214</v>
      </c>
      <c r="D112" s="962"/>
      <c r="E112" s="962"/>
      <c r="F112" s="963"/>
      <c r="G112" s="963"/>
      <c r="H112" s="963"/>
      <c r="I112" s="963"/>
      <c r="J112" s="963"/>
    </row>
    <row r="113" spans="1:10" x14ac:dyDescent="0.25">
      <c r="A113" s="961"/>
      <c r="B113" s="962"/>
      <c r="C113" s="715" t="s">
        <v>215</v>
      </c>
      <c r="D113" s="962"/>
      <c r="E113" s="962"/>
      <c r="F113" s="963"/>
      <c r="G113" s="963"/>
      <c r="H113" s="963"/>
      <c r="I113" s="963"/>
      <c r="J113" s="963"/>
    </row>
    <row r="114" spans="1:10" x14ac:dyDescent="0.25">
      <c r="A114" s="961"/>
      <c r="B114" s="962"/>
      <c r="C114" s="715" t="s">
        <v>216</v>
      </c>
      <c r="D114" s="962"/>
      <c r="E114" s="962"/>
      <c r="F114" s="963"/>
      <c r="G114" s="963"/>
      <c r="H114" s="963"/>
      <c r="I114" s="963"/>
      <c r="J114" s="963"/>
    </row>
    <row r="115" spans="1:10" x14ac:dyDescent="0.25">
      <c r="A115" s="961"/>
      <c r="B115" s="962"/>
      <c r="C115" s="710"/>
      <c r="D115" s="962"/>
      <c r="E115" s="962"/>
      <c r="F115" s="963"/>
      <c r="G115" s="963"/>
      <c r="H115" s="963"/>
      <c r="I115" s="963"/>
      <c r="J115" s="963"/>
    </row>
    <row r="116" spans="1:10" x14ac:dyDescent="0.25">
      <c r="A116" s="961"/>
      <c r="B116" s="962"/>
      <c r="C116" s="716" t="s">
        <v>217</v>
      </c>
      <c r="D116" s="962"/>
      <c r="E116" s="962"/>
      <c r="F116" s="963"/>
      <c r="G116" s="963"/>
      <c r="H116" s="963"/>
      <c r="I116" s="963"/>
      <c r="J116" s="963"/>
    </row>
    <row r="117" spans="1:10" x14ac:dyDescent="0.25">
      <c r="A117" s="961"/>
      <c r="B117" s="962"/>
      <c r="C117" s="715" t="s">
        <v>218</v>
      </c>
      <c r="D117" s="962"/>
      <c r="E117" s="962"/>
      <c r="F117" s="963"/>
      <c r="G117" s="963"/>
      <c r="H117" s="963"/>
      <c r="I117" s="963"/>
      <c r="J117" s="963"/>
    </row>
    <row r="118" spans="1:10" x14ac:dyDescent="0.25">
      <c r="A118" s="961"/>
      <c r="B118" s="962"/>
      <c r="C118" s="715" t="s">
        <v>219</v>
      </c>
      <c r="D118" s="962"/>
      <c r="E118" s="962"/>
      <c r="F118" s="963"/>
      <c r="G118" s="963"/>
      <c r="H118" s="963"/>
      <c r="I118" s="963"/>
      <c r="J118" s="963"/>
    </row>
    <row r="119" spans="1:10" x14ac:dyDescent="0.25">
      <c r="A119" s="961"/>
      <c r="B119" s="962"/>
      <c r="C119" s="715" t="s">
        <v>220</v>
      </c>
      <c r="D119" s="962"/>
      <c r="E119" s="962"/>
      <c r="F119" s="963"/>
      <c r="G119" s="963"/>
      <c r="H119" s="963"/>
      <c r="I119" s="963"/>
      <c r="J119" s="963"/>
    </row>
    <row r="120" spans="1:10" x14ac:dyDescent="0.25">
      <c r="A120" s="961"/>
      <c r="B120" s="962"/>
      <c r="C120" s="715" t="s">
        <v>221</v>
      </c>
      <c r="D120" s="962"/>
      <c r="E120" s="962"/>
      <c r="F120" s="963"/>
      <c r="G120" s="963"/>
      <c r="H120" s="963"/>
      <c r="I120" s="963"/>
      <c r="J120" s="963"/>
    </row>
    <row r="121" spans="1:10" x14ac:dyDescent="0.25">
      <c r="A121" s="961"/>
      <c r="B121" s="962"/>
      <c r="C121" s="715" t="s">
        <v>222</v>
      </c>
      <c r="D121" s="962"/>
      <c r="E121" s="962"/>
      <c r="F121" s="963"/>
      <c r="G121" s="963"/>
      <c r="H121" s="963"/>
      <c r="I121" s="963"/>
      <c r="J121" s="963"/>
    </row>
    <row r="122" spans="1:10" x14ac:dyDescent="0.25">
      <c r="A122" s="961"/>
      <c r="B122" s="962"/>
      <c r="C122" s="715" t="s">
        <v>223</v>
      </c>
      <c r="D122" s="962"/>
      <c r="E122" s="962"/>
      <c r="F122" s="963"/>
      <c r="G122" s="963"/>
      <c r="H122" s="963"/>
      <c r="I122" s="963"/>
      <c r="J122" s="963"/>
    </row>
    <row r="123" spans="1:10" x14ac:dyDescent="0.25">
      <c r="A123" s="961"/>
      <c r="B123" s="962"/>
      <c r="C123" s="715" t="s">
        <v>224</v>
      </c>
      <c r="D123" s="962"/>
      <c r="E123" s="962"/>
      <c r="F123" s="963"/>
      <c r="G123" s="963"/>
      <c r="H123" s="963"/>
      <c r="I123" s="963"/>
      <c r="J123" s="963"/>
    </row>
    <row r="124" spans="1:10" x14ac:dyDescent="0.25">
      <c r="A124" s="961"/>
      <c r="B124" s="962"/>
      <c r="C124" s="715" t="s">
        <v>225</v>
      </c>
      <c r="D124" s="962"/>
      <c r="E124" s="962"/>
      <c r="F124" s="963"/>
      <c r="G124" s="963"/>
      <c r="H124" s="963"/>
      <c r="I124" s="963"/>
      <c r="J124" s="963"/>
    </row>
    <row r="125" spans="1:10" x14ac:dyDescent="0.25">
      <c r="A125" s="966" t="s">
        <v>226</v>
      </c>
      <c r="B125" s="966"/>
      <c r="C125" s="966"/>
      <c r="D125" s="712"/>
      <c r="E125" s="712"/>
      <c r="F125" s="713"/>
      <c r="G125" s="713"/>
      <c r="H125" s="713"/>
      <c r="I125" s="713"/>
      <c r="J125" s="713"/>
    </row>
    <row r="126" spans="1:10" x14ac:dyDescent="0.25">
      <c r="A126" s="961">
        <v>610</v>
      </c>
      <c r="B126" s="962" t="s">
        <v>73</v>
      </c>
      <c r="C126" s="715" t="s">
        <v>227</v>
      </c>
      <c r="D126" s="962"/>
      <c r="E126" s="962"/>
      <c r="F126" s="963"/>
      <c r="G126" s="963"/>
      <c r="H126" s="963"/>
      <c r="I126" s="963"/>
      <c r="J126" s="963"/>
    </row>
    <row r="127" spans="1:10" x14ac:dyDescent="0.25">
      <c r="A127" s="961"/>
      <c r="B127" s="962"/>
      <c r="C127" s="715" t="s">
        <v>228</v>
      </c>
      <c r="D127" s="962"/>
      <c r="E127" s="962"/>
      <c r="F127" s="963"/>
      <c r="G127" s="963"/>
      <c r="H127" s="963"/>
      <c r="I127" s="963"/>
      <c r="J127" s="963"/>
    </row>
    <row r="128" spans="1:10" x14ac:dyDescent="0.25">
      <c r="A128" s="961"/>
      <c r="B128" s="962"/>
      <c r="C128" s="715" t="s">
        <v>229</v>
      </c>
      <c r="D128" s="962"/>
      <c r="E128" s="962"/>
      <c r="F128" s="963"/>
      <c r="G128" s="963"/>
      <c r="H128" s="963"/>
      <c r="I128" s="963"/>
      <c r="J128" s="963"/>
    </row>
    <row r="129" spans="1:10" x14ac:dyDescent="0.25">
      <c r="A129" s="961"/>
      <c r="B129" s="962"/>
      <c r="C129" s="715" t="s">
        <v>230</v>
      </c>
      <c r="D129" s="962"/>
      <c r="E129" s="962"/>
      <c r="F129" s="963"/>
      <c r="G129" s="963"/>
      <c r="H129" s="963"/>
      <c r="I129" s="963"/>
      <c r="J129" s="963"/>
    </row>
    <row r="130" spans="1:10" x14ac:dyDescent="0.25">
      <c r="A130" s="961"/>
      <c r="B130" s="962"/>
      <c r="C130" s="715" t="s">
        <v>231</v>
      </c>
      <c r="D130" s="962"/>
      <c r="E130" s="962"/>
      <c r="F130" s="963"/>
      <c r="G130" s="963"/>
      <c r="H130" s="963"/>
      <c r="I130" s="963"/>
      <c r="J130" s="963"/>
    </row>
    <row r="131" spans="1:10" x14ac:dyDescent="0.25">
      <c r="A131" s="961"/>
      <c r="B131" s="962"/>
      <c r="C131" s="715" t="s">
        <v>232</v>
      </c>
      <c r="D131" s="962"/>
      <c r="E131" s="962"/>
      <c r="F131" s="963"/>
      <c r="G131" s="963"/>
      <c r="H131" s="963"/>
      <c r="I131" s="963"/>
      <c r="J131" s="963"/>
    </row>
    <row r="132" spans="1:10" x14ac:dyDescent="0.25">
      <c r="A132" s="961"/>
      <c r="B132" s="962"/>
      <c r="C132" s="715" t="s">
        <v>233</v>
      </c>
      <c r="D132" s="962"/>
      <c r="E132" s="962"/>
      <c r="F132" s="963"/>
      <c r="G132" s="963"/>
      <c r="H132" s="963"/>
      <c r="I132" s="963"/>
      <c r="J132" s="963"/>
    </row>
    <row r="133" spans="1:10" x14ac:dyDescent="0.25">
      <c r="A133" s="961"/>
      <c r="B133" s="962"/>
      <c r="C133" s="715" t="s">
        <v>234</v>
      </c>
      <c r="D133" s="962"/>
      <c r="E133" s="962"/>
      <c r="F133" s="963"/>
      <c r="G133" s="963"/>
      <c r="H133" s="963"/>
      <c r="I133" s="963"/>
      <c r="J133" s="963"/>
    </row>
    <row r="134" spans="1:10" x14ac:dyDescent="0.25">
      <c r="A134" s="961"/>
      <c r="B134" s="962"/>
      <c r="C134" s="715" t="s">
        <v>235</v>
      </c>
      <c r="D134" s="962"/>
      <c r="E134" s="962"/>
      <c r="F134" s="963"/>
      <c r="G134" s="963"/>
      <c r="H134" s="963"/>
      <c r="I134" s="963"/>
      <c r="J134" s="963"/>
    </row>
    <row r="135" spans="1:10" x14ac:dyDescent="0.25">
      <c r="A135" s="961"/>
      <c r="B135" s="962"/>
      <c r="C135" s="715" t="s">
        <v>236</v>
      </c>
      <c r="D135" s="962"/>
      <c r="E135" s="962"/>
      <c r="F135" s="963"/>
      <c r="G135" s="963"/>
      <c r="H135" s="963"/>
      <c r="I135" s="963"/>
      <c r="J135" s="963"/>
    </row>
    <row r="136" spans="1:10" x14ac:dyDescent="0.25">
      <c r="A136" s="961">
        <v>699</v>
      </c>
      <c r="B136" s="962" t="s">
        <v>237</v>
      </c>
      <c r="C136" s="715" t="s">
        <v>238</v>
      </c>
      <c r="D136" s="962"/>
      <c r="E136" s="962"/>
      <c r="F136" s="963"/>
      <c r="G136" s="963"/>
      <c r="H136" s="963"/>
      <c r="I136" s="963"/>
      <c r="J136" s="963"/>
    </row>
    <row r="137" spans="1:10" x14ac:dyDescent="0.25">
      <c r="A137" s="961"/>
      <c r="B137" s="962"/>
      <c r="C137" s="715" t="s">
        <v>239</v>
      </c>
      <c r="D137" s="962"/>
      <c r="E137" s="962"/>
      <c r="F137" s="963"/>
      <c r="G137" s="963"/>
      <c r="H137" s="963"/>
      <c r="I137" s="963"/>
      <c r="J137" s="963"/>
    </row>
    <row r="138" spans="1:10" x14ac:dyDescent="0.25">
      <c r="A138" s="961"/>
      <c r="B138" s="962"/>
      <c r="C138" s="715" t="s">
        <v>240</v>
      </c>
      <c r="D138" s="962"/>
      <c r="E138" s="962"/>
      <c r="F138" s="963"/>
      <c r="G138" s="963"/>
      <c r="H138" s="963"/>
      <c r="I138" s="963"/>
      <c r="J138" s="963"/>
    </row>
    <row r="139" spans="1:10" x14ac:dyDescent="0.25">
      <c r="A139" s="961"/>
      <c r="B139" s="962"/>
      <c r="C139" s="715" t="s">
        <v>241</v>
      </c>
      <c r="D139" s="962"/>
      <c r="E139" s="962"/>
      <c r="F139" s="963"/>
      <c r="G139" s="963"/>
      <c r="H139" s="963"/>
      <c r="I139" s="963"/>
      <c r="J139" s="963"/>
    </row>
    <row r="140" spans="1:10" x14ac:dyDescent="0.25">
      <c r="A140" s="961"/>
      <c r="B140" s="962"/>
      <c r="C140" s="715" t="s">
        <v>242</v>
      </c>
      <c r="D140" s="962"/>
      <c r="E140" s="962"/>
      <c r="F140" s="963"/>
      <c r="G140" s="963"/>
      <c r="H140" s="963"/>
      <c r="I140" s="963"/>
      <c r="J140" s="963"/>
    </row>
    <row r="141" spans="1:10" x14ac:dyDescent="0.25">
      <c r="A141" s="961"/>
      <c r="B141" s="962"/>
      <c r="C141" s="715" t="s">
        <v>243</v>
      </c>
      <c r="D141" s="962"/>
      <c r="E141" s="962"/>
      <c r="F141" s="963"/>
      <c r="G141" s="963"/>
      <c r="H141" s="963"/>
      <c r="I141" s="963"/>
      <c r="J141" s="963"/>
    </row>
    <row r="142" spans="1:10" x14ac:dyDescent="0.25">
      <c r="A142" s="961"/>
      <c r="B142" s="962"/>
      <c r="C142" s="715" t="s">
        <v>244</v>
      </c>
      <c r="D142" s="962"/>
      <c r="E142" s="962"/>
      <c r="F142" s="963"/>
      <c r="G142" s="963"/>
      <c r="H142" s="963"/>
      <c r="I142" s="963"/>
      <c r="J142" s="963"/>
    </row>
    <row r="143" spans="1:10" x14ac:dyDescent="0.25">
      <c r="A143" s="966" t="s">
        <v>245</v>
      </c>
      <c r="B143" s="966"/>
      <c r="C143" s="966"/>
      <c r="D143" s="712"/>
      <c r="E143" s="712"/>
      <c r="F143" s="713"/>
      <c r="G143" s="713"/>
      <c r="H143" s="713"/>
      <c r="I143" s="713"/>
      <c r="J143" s="713"/>
    </row>
    <row r="144" spans="1:10" x14ac:dyDescent="0.25">
      <c r="A144" s="961">
        <v>710</v>
      </c>
      <c r="B144" s="962" t="s">
        <v>80</v>
      </c>
      <c r="C144" s="712" t="s">
        <v>246</v>
      </c>
      <c r="D144" s="962"/>
      <c r="E144" s="962"/>
      <c r="F144" s="963"/>
      <c r="G144" s="963"/>
      <c r="H144" s="963"/>
      <c r="I144" s="963"/>
      <c r="J144" s="963"/>
    </row>
    <row r="145" spans="1:10" x14ac:dyDescent="0.25">
      <c r="A145" s="961"/>
      <c r="B145" s="962"/>
      <c r="C145" s="712" t="s">
        <v>247</v>
      </c>
      <c r="D145" s="962"/>
      <c r="E145" s="962"/>
      <c r="F145" s="963"/>
      <c r="G145" s="963"/>
      <c r="H145" s="963"/>
      <c r="I145" s="963"/>
      <c r="J145" s="963"/>
    </row>
    <row r="146" spans="1:10" x14ac:dyDescent="0.25">
      <c r="A146" s="961"/>
      <c r="B146" s="962"/>
      <c r="C146" s="712" t="s">
        <v>248</v>
      </c>
      <c r="D146" s="962"/>
      <c r="E146" s="962"/>
      <c r="F146" s="963"/>
      <c r="G146" s="963"/>
      <c r="H146" s="963"/>
      <c r="I146" s="963"/>
      <c r="J146" s="963"/>
    </row>
    <row r="147" spans="1:10" x14ac:dyDescent="0.25">
      <c r="A147" s="961" t="s">
        <v>249</v>
      </c>
      <c r="B147" s="962" t="s">
        <v>250</v>
      </c>
      <c r="C147" s="712" t="s">
        <v>251</v>
      </c>
      <c r="D147" s="962"/>
      <c r="E147" s="962"/>
      <c r="F147" s="963"/>
      <c r="G147" s="963"/>
      <c r="H147" s="963"/>
      <c r="I147" s="963"/>
      <c r="J147" s="963"/>
    </row>
    <row r="148" spans="1:10" x14ac:dyDescent="0.25">
      <c r="A148" s="961"/>
      <c r="B148" s="962"/>
      <c r="C148" s="712" t="s">
        <v>252</v>
      </c>
      <c r="D148" s="962"/>
      <c r="E148" s="962"/>
      <c r="F148" s="963"/>
      <c r="G148" s="963"/>
      <c r="H148" s="963"/>
      <c r="I148" s="963"/>
      <c r="J148" s="963"/>
    </row>
    <row r="149" spans="1:10" x14ac:dyDescent="0.25">
      <c r="A149" s="961"/>
      <c r="B149" s="962"/>
      <c r="C149" s="712" t="s">
        <v>253</v>
      </c>
      <c r="D149" s="962"/>
      <c r="E149" s="962"/>
      <c r="F149" s="963"/>
      <c r="G149" s="963"/>
      <c r="H149" s="963"/>
      <c r="I149" s="963"/>
      <c r="J149" s="963"/>
    </row>
    <row r="150" spans="1:10" x14ac:dyDescent="0.25">
      <c r="A150" s="961"/>
      <c r="B150" s="962"/>
      <c r="C150" s="712" t="s">
        <v>254</v>
      </c>
      <c r="D150" s="962"/>
      <c r="E150" s="962"/>
      <c r="F150" s="963"/>
      <c r="G150" s="963"/>
      <c r="H150" s="963"/>
      <c r="I150" s="963"/>
      <c r="J150" s="963"/>
    </row>
    <row r="151" spans="1:10" x14ac:dyDescent="0.25">
      <c r="A151" s="961"/>
      <c r="B151" s="962"/>
      <c r="C151" s="712" t="s">
        <v>255</v>
      </c>
      <c r="D151" s="962"/>
      <c r="E151" s="962"/>
      <c r="F151" s="963"/>
      <c r="G151" s="963"/>
      <c r="H151" s="963"/>
      <c r="I151" s="963"/>
      <c r="J151" s="963"/>
    </row>
    <row r="152" spans="1:10" x14ac:dyDescent="0.25">
      <c r="A152" s="966" t="s">
        <v>256</v>
      </c>
      <c r="B152" s="966"/>
      <c r="C152" s="966"/>
      <c r="D152" s="712"/>
      <c r="E152" s="712"/>
      <c r="F152" s="713"/>
      <c r="G152" s="713"/>
      <c r="H152" s="713"/>
      <c r="I152" s="713"/>
      <c r="J152" s="713"/>
    </row>
    <row r="153" spans="1:10" x14ac:dyDescent="0.25">
      <c r="A153" s="961">
        <v>851</v>
      </c>
      <c r="B153" s="962" t="s">
        <v>257</v>
      </c>
      <c r="C153" s="712" t="s">
        <v>258</v>
      </c>
      <c r="D153" s="962"/>
      <c r="E153" s="962"/>
      <c r="F153" s="963"/>
      <c r="G153" s="963"/>
      <c r="H153" s="963"/>
      <c r="I153" s="963"/>
      <c r="J153" s="963"/>
    </row>
    <row r="154" spans="1:10" ht="22.5" x14ac:dyDescent="0.25">
      <c r="A154" s="961"/>
      <c r="B154" s="962"/>
      <c r="C154" s="712" t="s">
        <v>259</v>
      </c>
      <c r="D154" s="962"/>
      <c r="E154" s="962"/>
      <c r="F154" s="963"/>
      <c r="G154" s="963"/>
      <c r="H154" s="963"/>
      <c r="I154" s="963"/>
      <c r="J154" s="963"/>
    </row>
    <row r="155" spans="1:10" x14ac:dyDescent="0.25">
      <c r="A155" s="961"/>
      <c r="B155" s="962" t="s">
        <v>260</v>
      </c>
      <c r="C155" s="715" t="s">
        <v>261</v>
      </c>
      <c r="D155" s="962"/>
      <c r="E155" s="962"/>
      <c r="F155" s="963"/>
      <c r="G155" s="963"/>
      <c r="H155" s="963"/>
      <c r="I155" s="963"/>
      <c r="J155" s="963"/>
    </row>
    <row r="156" spans="1:10" x14ac:dyDescent="0.25">
      <c r="A156" s="961"/>
      <c r="B156" s="962"/>
      <c r="C156" s="715" t="s">
        <v>262</v>
      </c>
      <c r="D156" s="962"/>
      <c r="E156" s="962"/>
      <c r="F156" s="963"/>
      <c r="G156" s="963"/>
      <c r="H156" s="963"/>
      <c r="I156" s="963"/>
      <c r="J156" s="963"/>
    </row>
    <row r="157" spans="1:10" x14ac:dyDescent="0.25">
      <c r="A157" s="961" t="s">
        <v>263</v>
      </c>
      <c r="B157" s="962" t="s">
        <v>264</v>
      </c>
      <c r="C157" s="715" t="s">
        <v>265</v>
      </c>
      <c r="D157" s="962"/>
      <c r="E157" s="962"/>
      <c r="F157" s="963"/>
      <c r="G157" s="963"/>
      <c r="H157" s="963"/>
      <c r="I157" s="963"/>
      <c r="J157" s="963"/>
    </row>
    <row r="158" spans="1:10" x14ac:dyDescent="0.25">
      <c r="A158" s="961"/>
      <c r="B158" s="962"/>
      <c r="C158" s="715" t="s">
        <v>266</v>
      </c>
      <c r="D158" s="962"/>
      <c r="E158" s="962"/>
      <c r="F158" s="963"/>
      <c r="G158" s="963"/>
      <c r="H158" s="963"/>
      <c r="I158" s="963"/>
      <c r="J158" s="963"/>
    </row>
    <row r="159" spans="1:10" x14ac:dyDescent="0.25">
      <c r="A159" s="961"/>
      <c r="B159" s="962"/>
      <c r="C159" s="715" t="s">
        <v>267</v>
      </c>
      <c r="D159" s="962"/>
      <c r="E159" s="962"/>
      <c r="F159" s="963"/>
      <c r="G159" s="963"/>
      <c r="H159" s="963"/>
      <c r="I159" s="963"/>
      <c r="J159" s="963"/>
    </row>
    <row r="160" spans="1:10" x14ac:dyDescent="0.25">
      <c r="A160" s="961"/>
      <c r="B160" s="962"/>
      <c r="C160" s="710"/>
      <c r="D160" s="962"/>
      <c r="E160" s="962"/>
      <c r="F160" s="963"/>
      <c r="G160" s="963"/>
      <c r="H160" s="963"/>
      <c r="I160" s="963"/>
      <c r="J160" s="963"/>
    </row>
    <row r="161" spans="1:10" x14ac:dyDescent="0.25">
      <c r="A161" s="961"/>
      <c r="B161" s="962"/>
      <c r="C161" s="715" t="s">
        <v>268</v>
      </c>
      <c r="D161" s="962"/>
      <c r="E161" s="962"/>
      <c r="F161" s="963"/>
      <c r="G161" s="963"/>
      <c r="H161" s="963"/>
      <c r="I161" s="963"/>
      <c r="J161" s="963"/>
    </row>
    <row r="162" spans="1:10" x14ac:dyDescent="0.25">
      <c r="A162" s="961"/>
      <c r="B162" s="962"/>
      <c r="C162" s="715" t="s">
        <v>269</v>
      </c>
      <c r="D162" s="962"/>
      <c r="E162" s="962"/>
      <c r="F162" s="963"/>
      <c r="G162" s="963"/>
      <c r="H162" s="963"/>
      <c r="I162" s="963"/>
      <c r="J162" s="963"/>
    </row>
    <row r="163" spans="1:10" x14ac:dyDescent="0.25">
      <c r="A163" s="961"/>
      <c r="B163" s="962"/>
      <c r="C163" s="715" t="s">
        <v>270</v>
      </c>
      <c r="D163" s="962"/>
      <c r="E163" s="962"/>
      <c r="F163" s="963"/>
      <c r="G163" s="963"/>
      <c r="H163" s="963"/>
      <c r="I163" s="963"/>
      <c r="J163" s="963"/>
    </row>
    <row r="164" spans="1:10" x14ac:dyDescent="0.25">
      <c r="A164" s="718"/>
      <c r="B164" s="713"/>
      <c r="C164" s="713"/>
      <c r="D164" s="713"/>
      <c r="E164" s="713"/>
      <c r="F164" s="713"/>
      <c r="G164" s="713"/>
      <c r="H164" s="713"/>
      <c r="I164" s="713"/>
      <c r="J164" s="713"/>
    </row>
  </sheetData>
  <mergeCells count="235">
    <mergeCell ref="A12:C12"/>
    <mergeCell ref="A1:C1"/>
    <mergeCell ref="A27:C27"/>
    <mergeCell ref="A52:C52"/>
    <mergeCell ref="A79:C79"/>
    <mergeCell ref="A97:C97"/>
    <mergeCell ref="A125:C125"/>
    <mergeCell ref="A143:C143"/>
    <mergeCell ref="A3:C3"/>
    <mergeCell ref="A136:A142"/>
    <mergeCell ref="B136:B142"/>
    <mergeCell ref="A126:A135"/>
    <mergeCell ref="B126:B135"/>
    <mergeCell ref="A110:A124"/>
    <mergeCell ref="B110:B124"/>
    <mergeCell ref="A98:A109"/>
    <mergeCell ref="B98:B109"/>
    <mergeCell ref="A67:A75"/>
    <mergeCell ref="B67:B75"/>
    <mergeCell ref="A40:A43"/>
    <mergeCell ref="B40:B43"/>
    <mergeCell ref="A16:A26"/>
    <mergeCell ref="B16:B26"/>
    <mergeCell ref="A10:A11"/>
    <mergeCell ref="A157:A163"/>
    <mergeCell ref="B157:B163"/>
    <mergeCell ref="D157:D163"/>
    <mergeCell ref="E157:E163"/>
    <mergeCell ref="F157:F163"/>
    <mergeCell ref="G157:G163"/>
    <mergeCell ref="H157:H163"/>
    <mergeCell ref="I157:I163"/>
    <mergeCell ref="J157:J163"/>
    <mergeCell ref="A155:A156"/>
    <mergeCell ref="B155:B156"/>
    <mergeCell ref="D155:D156"/>
    <mergeCell ref="E155:E156"/>
    <mergeCell ref="F155:F156"/>
    <mergeCell ref="G155:G156"/>
    <mergeCell ref="H155:H156"/>
    <mergeCell ref="I155:I156"/>
    <mergeCell ref="J155:J156"/>
    <mergeCell ref="H147:H151"/>
    <mergeCell ref="I147:I151"/>
    <mergeCell ref="J147:J151"/>
    <mergeCell ref="A153:A154"/>
    <mergeCell ref="B153:B154"/>
    <mergeCell ref="D153:D154"/>
    <mergeCell ref="E153:E154"/>
    <mergeCell ref="F153:F154"/>
    <mergeCell ref="G153:G154"/>
    <mergeCell ref="H153:H154"/>
    <mergeCell ref="A147:A151"/>
    <mergeCell ref="B147:B151"/>
    <mergeCell ref="D147:D151"/>
    <mergeCell ref="E147:E151"/>
    <mergeCell ref="F147:F151"/>
    <mergeCell ref="G147:G151"/>
    <mergeCell ref="I153:I154"/>
    <mergeCell ref="J153:J154"/>
    <mergeCell ref="A152:C152"/>
    <mergeCell ref="A144:A146"/>
    <mergeCell ref="B144:B146"/>
    <mergeCell ref="D144:D146"/>
    <mergeCell ref="E144:E146"/>
    <mergeCell ref="F144:F146"/>
    <mergeCell ref="G144:G146"/>
    <mergeCell ref="H144:H146"/>
    <mergeCell ref="I144:I146"/>
    <mergeCell ref="J144:J146"/>
    <mergeCell ref="D136:D142"/>
    <mergeCell ref="E136:E142"/>
    <mergeCell ref="F136:F142"/>
    <mergeCell ref="G136:G142"/>
    <mergeCell ref="H136:H142"/>
    <mergeCell ref="I136:I142"/>
    <mergeCell ref="J136:J142"/>
    <mergeCell ref="H110:H124"/>
    <mergeCell ref="I110:I124"/>
    <mergeCell ref="J110:J124"/>
    <mergeCell ref="D126:D135"/>
    <mergeCell ref="E126:E135"/>
    <mergeCell ref="F126:F135"/>
    <mergeCell ref="G126:G135"/>
    <mergeCell ref="H126:H135"/>
    <mergeCell ref="D110:D124"/>
    <mergeCell ref="E110:E124"/>
    <mergeCell ref="F110:F124"/>
    <mergeCell ref="G110:G124"/>
    <mergeCell ref="I126:I135"/>
    <mergeCell ref="J126:J135"/>
    <mergeCell ref="D98:D109"/>
    <mergeCell ref="E98:E109"/>
    <mergeCell ref="F98:F109"/>
    <mergeCell ref="G98:G109"/>
    <mergeCell ref="H98:H109"/>
    <mergeCell ref="I98:I109"/>
    <mergeCell ref="J98:J109"/>
    <mergeCell ref="A90:A96"/>
    <mergeCell ref="B90:B96"/>
    <mergeCell ref="D90:D96"/>
    <mergeCell ref="E90:E96"/>
    <mergeCell ref="F90:F96"/>
    <mergeCell ref="G90:G96"/>
    <mergeCell ref="H90:H96"/>
    <mergeCell ref="I90:I96"/>
    <mergeCell ref="J90:J96"/>
    <mergeCell ref="H76:H78"/>
    <mergeCell ref="I76:I78"/>
    <mergeCell ref="J76:J78"/>
    <mergeCell ref="A80:A89"/>
    <mergeCell ref="B80:B89"/>
    <mergeCell ref="D80:D89"/>
    <mergeCell ref="E80:E89"/>
    <mergeCell ref="F80:F89"/>
    <mergeCell ref="G80:G89"/>
    <mergeCell ref="H80:H89"/>
    <mergeCell ref="A76:A78"/>
    <mergeCell ref="B76:B78"/>
    <mergeCell ref="D76:D78"/>
    <mergeCell ref="E76:E78"/>
    <mergeCell ref="F76:F78"/>
    <mergeCell ref="G76:G78"/>
    <mergeCell ref="I80:I89"/>
    <mergeCell ref="J80:J89"/>
    <mergeCell ref="D67:D75"/>
    <mergeCell ref="E67:E75"/>
    <mergeCell ref="F67:F75"/>
    <mergeCell ref="G67:G75"/>
    <mergeCell ref="H67:H75"/>
    <mergeCell ref="I67:I75"/>
    <mergeCell ref="J67:J75"/>
    <mergeCell ref="A60:A66"/>
    <mergeCell ref="B60:B66"/>
    <mergeCell ref="D60:D66"/>
    <mergeCell ref="E60:E66"/>
    <mergeCell ref="F60:F66"/>
    <mergeCell ref="G60:G66"/>
    <mergeCell ref="H60:H66"/>
    <mergeCell ref="I60:I66"/>
    <mergeCell ref="J60:J66"/>
    <mergeCell ref="H44:H51"/>
    <mergeCell ref="I44:I51"/>
    <mergeCell ref="J44:J51"/>
    <mergeCell ref="A53:A59"/>
    <mergeCell ref="B53:B59"/>
    <mergeCell ref="D53:D59"/>
    <mergeCell ref="E53:E59"/>
    <mergeCell ref="F53:F59"/>
    <mergeCell ref="G53:G59"/>
    <mergeCell ref="H53:H59"/>
    <mergeCell ref="A44:A51"/>
    <mergeCell ref="B44:B51"/>
    <mergeCell ref="D44:D51"/>
    <mergeCell ref="E44:E51"/>
    <mergeCell ref="F44:F51"/>
    <mergeCell ref="G44:G51"/>
    <mergeCell ref="I53:I59"/>
    <mergeCell ref="J53:J59"/>
    <mergeCell ref="D40:D43"/>
    <mergeCell ref="E40:E43"/>
    <mergeCell ref="F40:F43"/>
    <mergeCell ref="G40:G43"/>
    <mergeCell ref="H40:H43"/>
    <mergeCell ref="I40:I43"/>
    <mergeCell ref="J40:J43"/>
    <mergeCell ref="A37:A39"/>
    <mergeCell ref="B37:B39"/>
    <mergeCell ref="D37:D39"/>
    <mergeCell ref="E37:E39"/>
    <mergeCell ref="F37:F39"/>
    <mergeCell ref="G37:G39"/>
    <mergeCell ref="H37:H39"/>
    <mergeCell ref="I37:I39"/>
    <mergeCell ref="J37:J39"/>
    <mergeCell ref="H28:H32"/>
    <mergeCell ref="I28:I32"/>
    <mergeCell ref="J28:J32"/>
    <mergeCell ref="A33:A36"/>
    <mergeCell ref="B33:B36"/>
    <mergeCell ref="D33:D36"/>
    <mergeCell ref="E33:E36"/>
    <mergeCell ref="F33:F36"/>
    <mergeCell ref="G33:G36"/>
    <mergeCell ref="H33:H36"/>
    <mergeCell ref="A28:A32"/>
    <mergeCell ref="B28:B32"/>
    <mergeCell ref="D28:D32"/>
    <mergeCell ref="E28:E32"/>
    <mergeCell ref="F28:F32"/>
    <mergeCell ref="G28:G32"/>
    <mergeCell ref="I33:I36"/>
    <mergeCell ref="J33:J36"/>
    <mergeCell ref="D16:D26"/>
    <mergeCell ref="E16:E26"/>
    <mergeCell ref="F16:F26"/>
    <mergeCell ref="G16:G26"/>
    <mergeCell ref="H16:H26"/>
    <mergeCell ref="I16:I26"/>
    <mergeCell ref="J16:J26"/>
    <mergeCell ref="A13:A14"/>
    <mergeCell ref="B13:B14"/>
    <mergeCell ref="D13:D14"/>
    <mergeCell ref="E13:E14"/>
    <mergeCell ref="F13:F14"/>
    <mergeCell ref="G13:G14"/>
    <mergeCell ref="H13:H14"/>
    <mergeCell ref="I13:I14"/>
    <mergeCell ref="J13:J14"/>
    <mergeCell ref="B10:B11"/>
    <mergeCell ref="D10:D11"/>
    <mergeCell ref="E10:E11"/>
    <mergeCell ref="F10:F11"/>
    <mergeCell ref="G10:G11"/>
    <mergeCell ref="H10:H11"/>
    <mergeCell ref="I10:I11"/>
    <mergeCell ref="J10:J11"/>
    <mergeCell ref="G4:G7"/>
    <mergeCell ref="H4:H7"/>
    <mergeCell ref="I4:I7"/>
    <mergeCell ref="J4:J7"/>
    <mergeCell ref="H8:H9"/>
    <mergeCell ref="I8:I9"/>
    <mergeCell ref="J8:J9"/>
    <mergeCell ref="A8:A9"/>
    <mergeCell ref="B8:B9"/>
    <mergeCell ref="D8:D9"/>
    <mergeCell ref="E8:E9"/>
    <mergeCell ref="F8:F9"/>
    <mergeCell ref="G8:G9"/>
    <mergeCell ref="A4:A7"/>
    <mergeCell ref="B4:B7"/>
    <mergeCell ref="D4:D7"/>
    <mergeCell ref="E4:E7"/>
    <mergeCell ref="F4:F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tabColor rgb="FF92D050"/>
  </sheetPr>
  <dimension ref="A1:C19"/>
  <sheetViews>
    <sheetView zoomScale="115" zoomScaleNormal="115" workbookViewId="0">
      <selection sqref="A1:XFD1048576"/>
    </sheetView>
  </sheetViews>
  <sheetFormatPr baseColWidth="10" defaultColWidth="11.42578125" defaultRowHeight="14.25" x14ac:dyDescent="0.25"/>
  <cols>
    <col min="1" max="1" width="53.42578125" style="1085" customWidth="1"/>
    <col min="2" max="2" width="64.5703125" style="1085" customWidth="1"/>
    <col min="3" max="3" width="22.85546875" style="1085" bestFit="1" customWidth="1"/>
    <col min="4" max="16384" width="11.42578125" style="1085"/>
  </cols>
  <sheetData>
    <row r="1" spans="1:3" s="1060" customFormat="1" ht="24" customHeight="1" x14ac:dyDescent="0.25">
      <c r="A1" s="1057" t="s">
        <v>271</v>
      </c>
      <c r="B1" s="1058" t="s">
        <v>272</v>
      </c>
      <c r="C1" s="1059" t="s">
        <v>273</v>
      </c>
    </row>
    <row r="2" spans="1:3" s="722" customFormat="1" x14ac:dyDescent="0.25">
      <c r="A2" s="1061" t="s">
        <v>21</v>
      </c>
      <c r="B2" s="1062" t="s">
        <v>23</v>
      </c>
      <c r="C2" s="1063" t="s">
        <v>274</v>
      </c>
    </row>
    <row r="3" spans="1:3" s="722" customFormat="1" x14ac:dyDescent="0.25">
      <c r="A3" s="1064" t="s">
        <v>26</v>
      </c>
      <c r="B3" s="1065" t="s">
        <v>27</v>
      </c>
      <c r="C3" s="1066" t="s">
        <v>275</v>
      </c>
    </row>
    <row r="4" spans="1:3" s="722" customFormat="1" x14ac:dyDescent="0.25">
      <c r="A4" s="1067" t="s">
        <v>26</v>
      </c>
      <c r="B4" s="1068" t="s">
        <v>30</v>
      </c>
      <c r="C4" s="1069" t="s">
        <v>276</v>
      </c>
    </row>
    <row r="5" spans="1:3" s="722" customFormat="1" x14ac:dyDescent="0.25">
      <c r="A5" s="1070" t="s">
        <v>26</v>
      </c>
      <c r="B5" s="1071" t="s">
        <v>31</v>
      </c>
      <c r="C5" s="1072" t="s">
        <v>277</v>
      </c>
    </row>
    <row r="6" spans="1:3" s="722" customFormat="1" x14ac:dyDescent="0.25">
      <c r="A6" s="1073" t="s">
        <v>34</v>
      </c>
      <c r="B6" s="1074" t="s">
        <v>35</v>
      </c>
      <c r="C6" s="1075" t="s">
        <v>278</v>
      </c>
    </row>
    <row r="7" spans="1:3" s="722" customFormat="1" x14ac:dyDescent="0.25">
      <c r="A7" s="1076" t="s">
        <v>34</v>
      </c>
      <c r="B7" s="1077" t="s">
        <v>39</v>
      </c>
      <c r="C7" s="1078" t="s">
        <v>279</v>
      </c>
    </row>
    <row r="8" spans="1:3" s="722" customFormat="1" x14ac:dyDescent="0.25">
      <c r="A8" s="1079" t="s">
        <v>34</v>
      </c>
      <c r="B8" s="1080" t="s">
        <v>42</v>
      </c>
      <c r="C8" s="1081" t="s">
        <v>280</v>
      </c>
    </row>
    <row r="9" spans="1:3" s="722" customFormat="1" x14ac:dyDescent="0.25">
      <c r="A9" s="1064" t="s">
        <v>45</v>
      </c>
      <c r="B9" s="1065" t="s">
        <v>46</v>
      </c>
      <c r="C9" s="1066" t="s">
        <v>278</v>
      </c>
    </row>
    <row r="10" spans="1:3" s="722" customFormat="1" x14ac:dyDescent="0.25">
      <c r="A10" s="1070" t="s">
        <v>45</v>
      </c>
      <c r="B10" s="1071" t="s">
        <v>56</v>
      </c>
      <c r="C10" s="1072" t="s">
        <v>281</v>
      </c>
    </row>
    <row r="11" spans="1:3" s="722" customFormat="1" x14ac:dyDescent="0.25">
      <c r="A11" s="1073" t="s">
        <v>59</v>
      </c>
      <c r="B11" s="1074" t="s">
        <v>282</v>
      </c>
      <c r="C11" s="1075" t="s">
        <v>283</v>
      </c>
    </row>
    <row r="12" spans="1:3" s="722" customFormat="1" x14ac:dyDescent="0.25">
      <c r="A12" s="1079" t="s">
        <v>59</v>
      </c>
      <c r="B12" s="1080" t="s">
        <v>63</v>
      </c>
      <c r="C12" s="1081" t="s">
        <v>284</v>
      </c>
    </row>
    <row r="13" spans="1:3" s="722" customFormat="1" x14ac:dyDescent="0.25">
      <c r="A13" s="1064" t="s">
        <v>285</v>
      </c>
      <c r="B13" s="1065" t="s">
        <v>67</v>
      </c>
      <c r="C13" s="1066" t="s">
        <v>286</v>
      </c>
    </row>
    <row r="14" spans="1:3" s="722" customFormat="1" x14ac:dyDescent="0.25">
      <c r="A14" s="1070" t="s">
        <v>285</v>
      </c>
      <c r="B14" s="1071" t="s">
        <v>211</v>
      </c>
      <c r="C14" s="1072" t="s">
        <v>287</v>
      </c>
    </row>
    <row r="15" spans="1:3" s="722" customFormat="1" x14ac:dyDescent="0.25">
      <c r="A15" s="1073" t="s">
        <v>72</v>
      </c>
      <c r="B15" s="1074" t="s">
        <v>73</v>
      </c>
      <c r="C15" s="1075" t="s">
        <v>288</v>
      </c>
    </row>
    <row r="16" spans="1:3" s="722" customFormat="1" x14ac:dyDescent="0.25">
      <c r="A16" s="1079" t="s">
        <v>72</v>
      </c>
      <c r="B16" s="1080" t="s">
        <v>76</v>
      </c>
      <c r="C16" s="1081" t="s">
        <v>288</v>
      </c>
    </row>
    <row r="17" spans="1:3" s="722" customFormat="1" x14ac:dyDescent="0.25">
      <c r="A17" s="1064" t="s">
        <v>79</v>
      </c>
      <c r="B17" s="1065" t="s">
        <v>80</v>
      </c>
      <c r="C17" s="1066" t="s">
        <v>289</v>
      </c>
    </row>
    <row r="18" spans="1:3" s="722" customFormat="1" x14ac:dyDescent="0.25">
      <c r="A18" s="1070" t="s">
        <v>79</v>
      </c>
      <c r="B18" s="1071" t="s">
        <v>83</v>
      </c>
      <c r="C18" s="1072" t="s">
        <v>290</v>
      </c>
    </row>
    <row r="19" spans="1:3" s="722" customFormat="1" x14ac:dyDescent="0.25">
      <c r="A19" s="1082" t="s">
        <v>86</v>
      </c>
      <c r="B19" s="1083" t="s">
        <v>87</v>
      </c>
      <c r="C19" s="1084" t="s">
        <v>287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tabColor rgb="FF92D050"/>
  </sheetPr>
  <dimension ref="A1"/>
  <sheetViews>
    <sheetView zoomScale="85" zoomScaleNormal="85" workbookViewId="0">
      <selection activeCell="T32" sqref="T32"/>
    </sheetView>
  </sheetViews>
  <sheetFormatPr baseColWidth="10" defaultColWidth="11.42578125"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3A56E-B5C9-4224-9DC2-652252AB70FC}">
  <sheetPr codeName="Feuil13">
    <tabColor rgb="FFFF0000"/>
  </sheetPr>
  <dimension ref="A1:Z38"/>
  <sheetViews>
    <sheetView zoomScale="60" zoomScaleNormal="60" workbookViewId="0">
      <pane xSplit="1" ySplit="2" topLeftCell="B15" activePane="bottomRight" state="frozen"/>
      <selection pane="topRight" activeCell="B1" sqref="B1"/>
      <selection pane="bottomLeft" activeCell="A3" sqref="A3"/>
      <selection pane="bottomRight" sqref="A1:XFD1048576"/>
    </sheetView>
  </sheetViews>
  <sheetFormatPr baseColWidth="10" defaultColWidth="36.28515625" defaultRowHeight="15" x14ac:dyDescent="0.25"/>
  <cols>
    <col min="1" max="17" width="36.28515625" style="722"/>
    <col min="18" max="18" width="36.28515625" style="918"/>
    <col min="19" max="20" width="36.28515625" style="752"/>
    <col min="21" max="21" width="36.28515625" style="909"/>
    <col min="22" max="16384" width="36.28515625" style="722"/>
  </cols>
  <sheetData>
    <row r="1" spans="1:26" ht="69.95" customHeight="1" thickBot="1" x14ac:dyDescent="0.3">
      <c r="A1" s="940" t="s">
        <v>680</v>
      </c>
      <c r="B1" s="941"/>
      <c r="C1" s="941"/>
      <c r="D1" s="942"/>
      <c r="E1" s="943" t="s">
        <v>0</v>
      </c>
      <c r="F1" s="945" t="s">
        <v>1</v>
      </c>
      <c r="G1" s="947" t="s">
        <v>2</v>
      </c>
      <c r="H1" s="949" t="s">
        <v>3</v>
      </c>
      <c r="I1" s="950"/>
      <c r="J1" s="950"/>
      <c r="K1" s="950"/>
      <c r="L1" s="951"/>
      <c r="M1" s="949" t="s">
        <v>4</v>
      </c>
      <c r="N1" s="950"/>
      <c r="O1" s="950"/>
      <c r="P1" s="950"/>
      <c r="Q1" s="951"/>
      <c r="R1" s="955" t="s">
        <v>681</v>
      </c>
      <c r="S1" s="956"/>
      <c r="T1" s="955" t="s">
        <v>682</v>
      </c>
      <c r="U1" s="956"/>
      <c r="V1" s="957" t="s">
        <v>5</v>
      </c>
      <c r="W1" s="959" t="s">
        <v>683</v>
      </c>
      <c r="X1" s="960"/>
      <c r="Y1" s="960"/>
      <c r="Z1" s="935" t="s">
        <v>6</v>
      </c>
    </row>
    <row r="2" spans="1:26" s="734" customFormat="1" ht="90.75" customHeight="1" thickBot="1" x14ac:dyDescent="0.3">
      <c r="A2" s="723" t="s">
        <v>291</v>
      </c>
      <c r="B2" s="724" t="s">
        <v>8</v>
      </c>
      <c r="C2" s="724" t="s">
        <v>9</v>
      </c>
      <c r="D2" s="725" t="s">
        <v>10</v>
      </c>
      <c r="E2" s="944"/>
      <c r="F2" s="946"/>
      <c r="G2" s="948"/>
      <c r="H2" s="726" t="s">
        <v>11</v>
      </c>
      <c r="I2" s="727" t="s">
        <v>12</v>
      </c>
      <c r="J2" s="727" t="s">
        <v>13</v>
      </c>
      <c r="K2" s="727" t="s">
        <v>14</v>
      </c>
      <c r="L2" s="728" t="s">
        <v>15</v>
      </c>
      <c r="M2" s="726" t="s">
        <v>11</v>
      </c>
      <c r="N2" s="727" t="s">
        <v>12</v>
      </c>
      <c r="O2" s="727" t="s">
        <v>13</v>
      </c>
      <c r="P2" s="727" t="s">
        <v>14</v>
      </c>
      <c r="Q2" s="728" t="s">
        <v>15</v>
      </c>
      <c r="R2" s="729" t="s">
        <v>16</v>
      </c>
      <c r="S2" s="730" t="s">
        <v>17</v>
      </c>
      <c r="T2" s="729" t="s">
        <v>16</v>
      </c>
      <c r="U2" s="730" t="s">
        <v>17</v>
      </c>
      <c r="V2" s="958"/>
      <c r="W2" s="731" t="s">
        <v>18</v>
      </c>
      <c r="X2" s="732" t="s">
        <v>19</v>
      </c>
      <c r="Y2" s="733" t="s">
        <v>674</v>
      </c>
      <c r="Z2" s="936"/>
    </row>
    <row r="3" spans="1:26" s="752" customFormat="1" ht="126" customHeight="1" thickBot="1" x14ac:dyDescent="0.3">
      <c r="A3" s="735" t="s">
        <v>21</v>
      </c>
      <c r="B3" s="736" t="s">
        <v>22</v>
      </c>
      <c r="C3" s="736">
        <v>99</v>
      </c>
      <c r="D3" s="737" t="s">
        <v>23</v>
      </c>
      <c r="E3" s="738">
        <v>0</v>
      </c>
      <c r="F3" s="885">
        <v>0</v>
      </c>
      <c r="G3" s="740">
        <v>17463250</v>
      </c>
      <c r="H3" s="1086">
        <v>0</v>
      </c>
      <c r="I3" s="1087">
        <v>0</v>
      </c>
      <c r="J3" s="1087">
        <v>0</v>
      </c>
      <c r="K3" s="1087">
        <v>0</v>
      </c>
      <c r="L3" s="1088">
        <v>0</v>
      </c>
      <c r="M3" s="741">
        <v>0.5</v>
      </c>
      <c r="N3" s="742">
        <v>0.3</v>
      </c>
      <c r="O3" s="742">
        <v>0.15</v>
      </c>
      <c r="P3" s="742">
        <v>4.9999999999999996E-2</v>
      </c>
      <c r="Q3" s="743">
        <v>0</v>
      </c>
      <c r="R3" s="744">
        <f>1243090.64+26164.98</f>
        <v>1269255.6199999999</v>
      </c>
      <c r="S3" s="745">
        <v>141688.18</v>
      </c>
      <c r="T3" s="746">
        <v>749600</v>
      </c>
      <c r="U3" s="745">
        <v>252000</v>
      </c>
      <c r="V3" s="747">
        <f t="shared" ref="V3:V22" si="0">(H3*1+I3*2+J3*3+K3*4+L3*5)-(M3*1+N3*2+O3*3+P3*4+Q3*5)</f>
        <v>-1.75</v>
      </c>
      <c r="W3" s="748" t="s">
        <v>292</v>
      </c>
      <c r="X3" s="749"/>
      <c r="Y3" s="750"/>
      <c r="Z3" s="751"/>
    </row>
    <row r="4" spans="1:26" s="752" customFormat="1" ht="52.5" customHeight="1" x14ac:dyDescent="0.25">
      <c r="A4" s="753" t="s">
        <v>26</v>
      </c>
      <c r="B4" s="754">
        <v>1110</v>
      </c>
      <c r="C4" s="754">
        <v>110</v>
      </c>
      <c r="D4" s="755" t="s">
        <v>27</v>
      </c>
      <c r="E4" s="756">
        <v>46</v>
      </c>
      <c r="F4" s="757">
        <v>100</v>
      </c>
      <c r="G4" s="758">
        <v>6407911</v>
      </c>
      <c r="H4" s="759">
        <v>0.14285714285714285</v>
      </c>
      <c r="I4" s="760">
        <v>0.5714285714285714</v>
      </c>
      <c r="J4" s="760">
        <v>0.14285714285714285</v>
      </c>
      <c r="K4" s="760">
        <v>0.14285714285714285</v>
      </c>
      <c r="L4" s="761">
        <v>0</v>
      </c>
      <c r="M4" s="759">
        <v>0.5</v>
      </c>
      <c r="N4" s="760">
        <v>0.3</v>
      </c>
      <c r="O4" s="760">
        <v>0.15</v>
      </c>
      <c r="P4" s="760">
        <v>4.9999999999999996E-2</v>
      </c>
      <c r="Q4" s="762">
        <v>0</v>
      </c>
      <c r="R4" s="763">
        <f>20044.18+81382.5</f>
        <v>101426.68</v>
      </c>
      <c r="S4" s="764">
        <v>7995.43</v>
      </c>
      <c r="T4" s="765">
        <v>162500</v>
      </c>
      <c r="U4" s="764">
        <v>55000</v>
      </c>
      <c r="V4" s="766">
        <f t="shared" si="0"/>
        <v>0.53571428571428559</v>
      </c>
      <c r="W4" s="767" t="s">
        <v>293</v>
      </c>
      <c r="X4" s="768" t="s">
        <v>29</v>
      </c>
      <c r="Y4" s="769" t="s">
        <v>25</v>
      </c>
      <c r="Z4" s="770"/>
    </row>
    <row r="5" spans="1:26" s="752" customFormat="1" ht="37.5" customHeight="1" x14ac:dyDescent="0.25">
      <c r="A5" s="771" t="s">
        <v>26</v>
      </c>
      <c r="B5" s="772">
        <v>1120</v>
      </c>
      <c r="C5" s="772">
        <v>120</v>
      </c>
      <c r="D5" s="773" t="s">
        <v>30</v>
      </c>
      <c r="E5" s="756">
        <v>116</v>
      </c>
      <c r="F5" s="757">
        <v>137.5</v>
      </c>
      <c r="G5" s="774">
        <v>117583142</v>
      </c>
      <c r="H5" s="775">
        <v>0</v>
      </c>
      <c r="I5" s="776">
        <v>0.5</v>
      </c>
      <c r="J5" s="776">
        <v>0.5</v>
      </c>
      <c r="K5" s="776">
        <v>0</v>
      </c>
      <c r="L5" s="777">
        <v>0</v>
      </c>
      <c r="M5" s="775">
        <v>0.5</v>
      </c>
      <c r="N5" s="776">
        <v>0.3</v>
      </c>
      <c r="O5" s="776">
        <v>0.15</v>
      </c>
      <c r="P5" s="776">
        <v>4.9999999999999996E-2</v>
      </c>
      <c r="Q5" s="778">
        <v>0</v>
      </c>
      <c r="R5" s="779">
        <f>8503.01+3185</f>
        <v>11688.01</v>
      </c>
      <c r="S5" s="780">
        <v>0</v>
      </c>
      <c r="T5" s="781">
        <v>50000</v>
      </c>
      <c r="U5" s="780">
        <v>20000</v>
      </c>
      <c r="V5" s="782">
        <f t="shared" si="0"/>
        <v>0.75</v>
      </c>
      <c r="W5" s="783" t="s">
        <v>294</v>
      </c>
      <c r="X5" s="784" t="s">
        <v>29</v>
      </c>
      <c r="Y5" s="785" t="s">
        <v>25</v>
      </c>
      <c r="Z5" s="786"/>
    </row>
    <row r="6" spans="1:26" s="752" customFormat="1" ht="57.75" thickBot="1" x14ac:dyDescent="0.3">
      <c r="A6" s="787" t="s">
        <v>26</v>
      </c>
      <c r="B6" s="788">
        <v>1130</v>
      </c>
      <c r="C6" s="788">
        <v>199</v>
      </c>
      <c r="D6" s="789" t="s">
        <v>31</v>
      </c>
      <c r="E6" s="756">
        <v>93.258064516129039</v>
      </c>
      <c r="F6" s="757">
        <v>118.26086956521739</v>
      </c>
      <c r="G6" s="790">
        <v>67490845</v>
      </c>
      <c r="H6" s="791">
        <v>0.11180124223602485</v>
      </c>
      <c r="I6" s="792">
        <v>0.32919254658385094</v>
      </c>
      <c r="J6" s="792">
        <v>0.32298136645962733</v>
      </c>
      <c r="K6" s="792">
        <v>0.2360248447204969</v>
      </c>
      <c r="L6" s="793">
        <v>0</v>
      </c>
      <c r="M6" s="791">
        <v>0.5</v>
      </c>
      <c r="N6" s="792">
        <v>0.3</v>
      </c>
      <c r="O6" s="792">
        <v>0.15</v>
      </c>
      <c r="P6" s="792">
        <v>4.9999999999999996E-2</v>
      </c>
      <c r="Q6" s="794">
        <v>0</v>
      </c>
      <c r="R6" s="795">
        <f>2058128.09+158680.4</f>
        <v>2216808.4900000002</v>
      </c>
      <c r="S6" s="796">
        <v>599258.52</v>
      </c>
      <c r="T6" s="797">
        <v>2115600</v>
      </c>
      <c r="U6" s="798">
        <v>704000</v>
      </c>
      <c r="V6" s="799">
        <f t="shared" si="0"/>
        <v>0.93322981366459645</v>
      </c>
      <c r="W6" s="800" t="s">
        <v>295</v>
      </c>
      <c r="X6" s="801" t="s">
        <v>33</v>
      </c>
      <c r="Y6" s="802" t="s">
        <v>25</v>
      </c>
      <c r="Z6" s="803"/>
    </row>
    <row r="7" spans="1:26" s="752" customFormat="1" ht="114.95" customHeight="1" x14ac:dyDescent="0.25">
      <c r="A7" s="753" t="s">
        <v>34</v>
      </c>
      <c r="B7" s="754">
        <v>1210</v>
      </c>
      <c r="C7" s="754">
        <v>210</v>
      </c>
      <c r="D7" s="755" t="s">
        <v>35</v>
      </c>
      <c r="E7" s="804">
        <v>37.012048192771083</v>
      </c>
      <c r="F7" s="805">
        <v>26.626506024096386</v>
      </c>
      <c r="G7" s="806">
        <v>57609000</v>
      </c>
      <c r="H7" s="807">
        <v>0.14457831325301204</v>
      </c>
      <c r="I7" s="808">
        <v>0.12048192771084337</v>
      </c>
      <c r="J7" s="808">
        <v>0.14457831325301204</v>
      </c>
      <c r="K7" s="808">
        <v>0.38554216867469882</v>
      </c>
      <c r="L7" s="809">
        <v>0.20481927710843373</v>
      </c>
      <c r="M7" s="807">
        <v>0.5</v>
      </c>
      <c r="N7" s="808">
        <v>0.3</v>
      </c>
      <c r="O7" s="808">
        <v>0.15</v>
      </c>
      <c r="P7" s="808">
        <v>4.9999999999999996E-2</v>
      </c>
      <c r="Q7" s="810">
        <v>0</v>
      </c>
      <c r="R7" s="763">
        <v>2359080.2799999998</v>
      </c>
      <c r="S7" s="764">
        <v>1706384.9</v>
      </c>
      <c r="T7" s="811"/>
      <c r="U7" s="812">
        <v>1610000</v>
      </c>
      <c r="V7" s="766">
        <f t="shared" si="0"/>
        <v>1.6355421686746987</v>
      </c>
      <c r="W7" s="813" t="s">
        <v>296</v>
      </c>
      <c r="X7" s="814" t="s">
        <v>297</v>
      </c>
      <c r="Y7" s="815" t="s">
        <v>38</v>
      </c>
      <c r="Z7" s="816"/>
    </row>
    <row r="8" spans="1:26" s="752" customFormat="1" ht="93" customHeight="1" x14ac:dyDescent="0.25">
      <c r="A8" s="771" t="s">
        <v>34</v>
      </c>
      <c r="B8" s="772">
        <v>1220</v>
      </c>
      <c r="C8" s="772">
        <v>220</v>
      </c>
      <c r="D8" s="773" t="s">
        <v>39</v>
      </c>
      <c r="E8" s="756">
        <v>33.721311475409834</v>
      </c>
      <c r="F8" s="757">
        <v>26.475409836065573</v>
      </c>
      <c r="G8" s="817">
        <v>21192000</v>
      </c>
      <c r="H8" s="818">
        <v>0.11475409836065574</v>
      </c>
      <c r="I8" s="819">
        <v>0.19672131147540983</v>
      </c>
      <c r="J8" s="819">
        <v>0.11475409836065574</v>
      </c>
      <c r="K8" s="819">
        <v>0.34426229508196721</v>
      </c>
      <c r="L8" s="820">
        <v>0.22950819672131148</v>
      </c>
      <c r="M8" s="818">
        <v>0.5</v>
      </c>
      <c r="N8" s="819">
        <v>0.3</v>
      </c>
      <c r="O8" s="819">
        <v>0.15</v>
      </c>
      <c r="P8" s="819">
        <v>4.9999999999999996E-2</v>
      </c>
      <c r="Q8" s="821">
        <v>0</v>
      </c>
      <c r="R8" s="779">
        <v>487286.45</v>
      </c>
      <c r="S8" s="780">
        <v>378379.01</v>
      </c>
      <c r="T8" s="781"/>
      <c r="U8" s="780">
        <v>620000</v>
      </c>
      <c r="V8" s="782">
        <f t="shared" si="0"/>
        <v>1.6270491803278686</v>
      </c>
      <c r="W8" s="822"/>
      <c r="X8" s="823" t="s">
        <v>41</v>
      </c>
      <c r="Y8" s="815" t="s">
        <v>38</v>
      </c>
      <c r="Z8" s="824"/>
    </row>
    <row r="9" spans="1:26" s="752" customFormat="1" ht="121.5" customHeight="1" thickBot="1" x14ac:dyDescent="0.3">
      <c r="A9" s="787" t="s">
        <v>34</v>
      </c>
      <c r="B9" s="788">
        <v>1230</v>
      </c>
      <c r="C9" s="788">
        <v>299</v>
      </c>
      <c r="D9" s="789" t="s">
        <v>42</v>
      </c>
      <c r="E9" s="825">
        <v>34.520547945205479</v>
      </c>
      <c r="F9" s="826">
        <v>28.82191780821918</v>
      </c>
      <c r="G9" s="827">
        <v>86720515</v>
      </c>
      <c r="H9" s="818">
        <v>0.2226027397260274</v>
      </c>
      <c r="I9" s="819">
        <v>6.5068493150684928E-2</v>
      </c>
      <c r="J9" s="819">
        <v>0.14383561643835616</v>
      </c>
      <c r="K9" s="819">
        <v>0.46917808219178081</v>
      </c>
      <c r="L9" s="820">
        <v>9.9315068493150679E-2</v>
      </c>
      <c r="M9" s="818">
        <v>0.5</v>
      </c>
      <c r="N9" s="819">
        <v>0.3</v>
      </c>
      <c r="O9" s="819">
        <v>0.15</v>
      </c>
      <c r="P9" s="819">
        <v>4.9999999999999996E-2</v>
      </c>
      <c r="Q9" s="821">
        <v>0</v>
      </c>
      <c r="R9" s="795">
        <f>6603102.57+390461.94</f>
        <v>6993564.5100000007</v>
      </c>
      <c r="S9" s="796">
        <v>254651.44</v>
      </c>
      <c r="T9" s="828">
        <v>5320450</v>
      </c>
      <c r="U9" s="796">
        <v>372000</v>
      </c>
      <c r="V9" s="799">
        <f t="shared" si="0"/>
        <v>1.4075342465753424</v>
      </c>
      <c r="W9" s="829" t="s">
        <v>298</v>
      </c>
      <c r="X9" s="830" t="s">
        <v>299</v>
      </c>
      <c r="Y9" s="831" t="s">
        <v>38</v>
      </c>
      <c r="Z9" s="832"/>
    </row>
    <row r="10" spans="1:26" s="752" customFormat="1" ht="94.5" customHeight="1" x14ac:dyDescent="0.25">
      <c r="A10" s="753" t="s">
        <v>45</v>
      </c>
      <c r="B10" s="754">
        <v>1310</v>
      </c>
      <c r="C10" s="754">
        <v>310</v>
      </c>
      <c r="D10" s="755" t="s">
        <v>46</v>
      </c>
      <c r="E10" s="804">
        <v>26.055555555555557</v>
      </c>
      <c r="F10" s="805">
        <v>25</v>
      </c>
      <c r="G10" s="806">
        <v>45113000</v>
      </c>
      <c r="H10" s="833">
        <v>0.13333333333333333</v>
      </c>
      <c r="I10" s="834">
        <v>6.6666666666666666E-2</v>
      </c>
      <c r="J10" s="834">
        <v>6.6666666666666666E-2</v>
      </c>
      <c r="K10" s="834">
        <v>0.36666666666666664</v>
      </c>
      <c r="L10" s="835">
        <v>0.36666666666666664</v>
      </c>
      <c r="M10" s="833">
        <v>0.3</v>
      </c>
      <c r="N10" s="834">
        <v>0.5</v>
      </c>
      <c r="O10" s="834">
        <v>0.19999999999999998</v>
      </c>
      <c r="P10" s="834">
        <v>0</v>
      </c>
      <c r="Q10" s="835">
        <v>0</v>
      </c>
      <c r="R10" s="763">
        <v>739712.23</v>
      </c>
      <c r="S10" s="764">
        <v>976252.2</v>
      </c>
      <c r="T10" s="765"/>
      <c r="U10" s="764">
        <v>980000</v>
      </c>
      <c r="V10" s="766">
        <f t="shared" si="0"/>
        <v>1.8666666666666667</v>
      </c>
      <c r="W10" s="836" t="s">
        <v>300</v>
      </c>
      <c r="X10" s="837" t="s">
        <v>301</v>
      </c>
      <c r="Y10" s="838" t="s">
        <v>38</v>
      </c>
      <c r="Z10" s="839"/>
    </row>
    <row r="11" spans="1:26" s="752" customFormat="1" ht="28.5" x14ac:dyDescent="0.25">
      <c r="A11" s="771" t="s">
        <v>45</v>
      </c>
      <c r="B11" s="772" t="s">
        <v>49</v>
      </c>
      <c r="C11" s="772">
        <v>351</v>
      </c>
      <c r="D11" s="773" t="s">
        <v>50</v>
      </c>
      <c r="E11" s="756">
        <v>11.333333333333334</v>
      </c>
      <c r="F11" s="757">
        <v>57.857142857142854</v>
      </c>
      <c r="G11" s="817">
        <v>780000</v>
      </c>
      <c r="H11" s="818">
        <v>0.38775510204081631</v>
      </c>
      <c r="I11" s="819">
        <v>0.22448979591836735</v>
      </c>
      <c r="J11" s="819">
        <v>0.24489795918367346</v>
      </c>
      <c r="K11" s="819">
        <v>2.0408163265306121E-2</v>
      </c>
      <c r="L11" s="821">
        <v>0.12244897959183673</v>
      </c>
      <c r="M11" s="818">
        <v>0.3</v>
      </c>
      <c r="N11" s="819">
        <v>0.5</v>
      </c>
      <c r="O11" s="819">
        <v>0.19999999999999998</v>
      </c>
      <c r="P11" s="819">
        <v>0</v>
      </c>
      <c r="Q11" s="821">
        <v>0</v>
      </c>
      <c r="R11" s="779">
        <v>51173.74</v>
      </c>
      <c r="S11" s="780">
        <v>14211.11</v>
      </c>
      <c r="T11" s="781"/>
      <c r="U11" s="780">
        <v>96000</v>
      </c>
      <c r="V11" s="782">
        <f t="shared" si="0"/>
        <v>0.36530612244897975</v>
      </c>
      <c r="W11" s="822" t="s">
        <v>302</v>
      </c>
      <c r="X11" s="840" t="s">
        <v>303</v>
      </c>
      <c r="Y11" s="841" t="s">
        <v>38</v>
      </c>
      <c r="Z11" s="842"/>
    </row>
    <row r="12" spans="1:26" s="752" customFormat="1" ht="42.75" x14ac:dyDescent="0.25">
      <c r="A12" s="771" t="s">
        <v>45</v>
      </c>
      <c r="B12" s="772" t="s">
        <v>49</v>
      </c>
      <c r="C12" s="772">
        <v>352</v>
      </c>
      <c r="D12" s="773" t="s">
        <v>53</v>
      </c>
      <c r="E12" s="756">
        <v>27.857142857142858</v>
      </c>
      <c r="F12" s="757">
        <v>33</v>
      </c>
      <c r="G12" s="817">
        <v>7000000</v>
      </c>
      <c r="H12" s="818">
        <v>0.14285714285714285</v>
      </c>
      <c r="I12" s="819">
        <v>0.2857142857142857</v>
      </c>
      <c r="J12" s="819">
        <v>0</v>
      </c>
      <c r="K12" s="819">
        <v>0.14285714285714285</v>
      </c>
      <c r="L12" s="821">
        <v>0.42857142857142855</v>
      </c>
      <c r="M12" s="818">
        <v>0.3</v>
      </c>
      <c r="N12" s="819">
        <v>0.5</v>
      </c>
      <c r="O12" s="819">
        <v>0.19999999999999998</v>
      </c>
      <c r="P12" s="819">
        <v>0</v>
      </c>
      <c r="Q12" s="821">
        <v>0</v>
      </c>
      <c r="R12" s="779">
        <f>31753.11+1690</f>
        <v>33443.11</v>
      </c>
      <c r="S12" s="780">
        <v>124383.73</v>
      </c>
      <c r="T12" s="781"/>
      <c r="U12" s="780">
        <v>167000</v>
      </c>
      <c r="V12" s="782">
        <f t="shared" si="0"/>
        <v>1.5285714285714285</v>
      </c>
      <c r="W12" s="822" t="s">
        <v>304</v>
      </c>
      <c r="X12" s="840" t="s">
        <v>305</v>
      </c>
      <c r="Y12" s="841" t="s">
        <v>38</v>
      </c>
      <c r="Z12" s="842"/>
    </row>
    <row r="13" spans="1:26" s="752" customFormat="1" ht="74.45" customHeight="1" thickBot="1" x14ac:dyDescent="0.3">
      <c r="A13" s="787" t="s">
        <v>45</v>
      </c>
      <c r="B13" s="788" t="s">
        <v>49</v>
      </c>
      <c r="C13" s="788">
        <v>399</v>
      </c>
      <c r="D13" s="789" t="s">
        <v>56</v>
      </c>
      <c r="E13" s="1089">
        <v>0</v>
      </c>
      <c r="F13" s="1090">
        <v>0</v>
      </c>
      <c r="G13" s="1091">
        <v>0</v>
      </c>
      <c r="H13" s="1092">
        <v>0</v>
      </c>
      <c r="I13" s="1093">
        <v>0</v>
      </c>
      <c r="J13" s="1093">
        <v>0</v>
      </c>
      <c r="K13" s="1093">
        <v>0</v>
      </c>
      <c r="L13" s="1094">
        <v>0</v>
      </c>
      <c r="M13" s="1092">
        <v>0</v>
      </c>
      <c r="N13" s="1093">
        <v>0</v>
      </c>
      <c r="O13" s="1093">
        <v>0</v>
      </c>
      <c r="P13" s="1093">
        <v>0</v>
      </c>
      <c r="Q13" s="1094">
        <v>0</v>
      </c>
      <c r="R13" s="795">
        <f>1077431.82+309693.33</f>
        <v>1387125.1500000001</v>
      </c>
      <c r="S13" s="796">
        <v>0</v>
      </c>
      <c r="T13" s="797">
        <v>5480450</v>
      </c>
      <c r="U13" s="798">
        <v>0</v>
      </c>
      <c r="V13" s="799">
        <f t="shared" si="0"/>
        <v>0</v>
      </c>
      <c r="W13" s="846" t="s">
        <v>306</v>
      </c>
      <c r="X13" s="847" t="s">
        <v>307</v>
      </c>
      <c r="Y13" s="848"/>
      <c r="Z13" s="832"/>
    </row>
    <row r="14" spans="1:26" s="752" customFormat="1" ht="154.5" customHeight="1" x14ac:dyDescent="0.25">
      <c r="A14" s="753" t="s">
        <v>59</v>
      </c>
      <c r="B14" s="754">
        <v>1410</v>
      </c>
      <c r="C14" s="754">
        <v>410</v>
      </c>
      <c r="D14" s="755" t="s">
        <v>60</v>
      </c>
      <c r="E14" s="804">
        <v>21</v>
      </c>
      <c r="F14" s="805">
        <v>29.383886255924171</v>
      </c>
      <c r="G14" s="806">
        <v>33206400</v>
      </c>
      <c r="H14" s="833">
        <v>0.30331753554502372</v>
      </c>
      <c r="I14" s="834">
        <v>0.20379146919431279</v>
      </c>
      <c r="J14" s="834">
        <v>0.1895734597156398</v>
      </c>
      <c r="K14" s="834">
        <v>0.12322274881516587</v>
      </c>
      <c r="L14" s="835">
        <v>0.18009478672985782</v>
      </c>
      <c r="M14" s="833">
        <v>0.5</v>
      </c>
      <c r="N14" s="834">
        <v>0.3</v>
      </c>
      <c r="O14" s="834">
        <v>0.19999999999999998</v>
      </c>
      <c r="P14" s="834">
        <v>0</v>
      </c>
      <c r="Q14" s="835">
        <v>0</v>
      </c>
      <c r="R14" s="763">
        <v>234276.9</v>
      </c>
      <c r="S14" s="764">
        <v>678528.95</v>
      </c>
      <c r="T14" s="811"/>
      <c r="U14" s="812">
        <v>1420000</v>
      </c>
      <c r="V14" s="766">
        <f t="shared" si="0"/>
        <v>0.97298578199052121</v>
      </c>
      <c r="W14" s="849" t="s">
        <v>308</v>
      </c>
      <c r="X14" s="850" t="s">
        <v>309</v>
      </c>
      <c r="Y14" s="851" t="s">
        <v>38</v>
      </c>
      <c r="Z14" s="852"/>
    </row>
    <row r="15" spans="1:26" s="752" customFormat="1" ht="162.75" customHeight="1" thickBot="1" x14ac:dyDescent="0.3">
      <c r="A15" s="787" t="s">
        <v>59</v>
      </c>
      <c r="B15" s="788">
        <v>1420</v>
      </c>
      <c r="C15" s="788">
        <v>499</v>
      </c>
      <c r="D15" s="789" t="s">
        <v>63</v>
      </c>
      <c r="E15" s="825">
        <v>19</v>
      </c>
      <c r="F15" s="826">
        <v>25.625</v>
      </c>
      <c r="G15" s="827">
        <v>5214658</v>
      </c>
      <c r="H15" s="843">
        <v>0.25</v>
      </c>
      <c r="I15" s="844">
        <v>0.35</v>
      </c>
      <c r="J15" s="844">
        <v>2.5000000000000001E-2</v>
      </c>
      <c r="K15" s="844">
        <v>0.125</v>
      </c>
      <c r="L15" s="845">
        <v>0.25</v>
      </c>
      <c r="M15" s="843">
        <v>0.39999999999999997</v>
      </c>
      <c r="N15" s="844">
        <v>0.35</v>
      </c>
      <c r="O15" s="844">
        <v>0.25</v>
      </c>
      <c r="P15" s="844">
        <v>0</v>
      </c>
      <c r="Q15" s="845">
        <v>0</v>
      </c>
      <c r="R15" s="795">
        <f>2470282.48+235795.69</f>
        <v>2706078.17</v>
      </c>
      <c r="S15" s="796">
        <v>265819.7</v>
      </c>
      <c r="T15" s="828">
        <v>3467200</v>
      </c>
      <c r="U15" s="796">
        <v>94000</v>
      </c>
      <c r="V15" s="799">
        <f t="shared" si="0"/>
        <v>0.92500000000000004</v>
      </c>
      <c r="W15" s="853" t="s">
        <v>310</v>
      </c>
      <c r="X15" s="847" t="s">
        <v>311</v>
      </c>
      <c r="Y15" s="854" t="s">
        <v>38</v>
      </c>
      <c r="Z15" s="832"/>
    </row>
    <row r="16" spans="1:26" s="752" customFormat="1" ht="119.1" customHeight="1" x14ac:dyDescent="0.25">
      <c r="A16" s="753" t="s">
        <v>66</v>
      </c>
      <c r="B16" s="754">
        <v>1510</v>
      </c>
      <c r="C16" s="754">
        <v>510</v>
      </c>
      <c r="D16" s="755" t="s">
        <v>67</v>
      </c>
      <c r="E16" s="804">
        <v>7.2530864197530862</v>
      </c>
      <c r="F16" s="805">
        <v>17.098765432098766</v>
      </c>
      <c r="G16" s="806">
        <v>2000000</v>
      </c>
      <c r="H16" s="833">
        <v>0.80246913580246915</v>
      </c>
      <c r="I16" s="834">
        <v>0.14814814814814814</v>
      </c>
      <c r="J16" s="834">
        <v>3.7037037037037035E-2</v>
      </c>
      <c r="K16" s="834">
        <v>6.1728395061728392E-3</v>
      </c>
      <c r="L16" s="835">
        <v>6.1728395061728392E-3</v>
      </c>
      <c r="M16" s="833">
        <v>0.44999999999999996</v>
      </c>
      <c r="N16" s="834">
        <v>0.35</v>
      </c>
      <c r="O16" s="834">
        <v>9.9999999999999992E-2</v>
      </c>
      <c r="P16" s="834">
        <v>9.9999999999999992E-2</v>
      </c>
      <c r="Q16" s="835">
        <v>0</v>
      </c>
      <c r="R16" s="763">
        <v>88899.31</v>
      </c>
      <c r="S16" s="764">
        <v>88383.3</v>
      </c>
      <c r="T16" s="765"/>
      <c r="U16" s="764">
        <v>213000</v>
      </c>
      <c r="V16" s="766">
        <f t="shared" si="0"/>
        <v>-0.5845679012345677</v>
      </c>
      <c r="W16" s="1095" t="s">
        <v>312</v>
      </c>
      <c r="X16" s="768" t="s">
        <v>313</v>
      </c>
      <c r="Y16" s="851" t="s">
        <v>38</v>
      </c>
      <c r="Z16" s="852"/>
    </row>
    <row r="17" spans="1:26" s="752" customFormat="1" ht="115.5" customHeight="1" thickBot="1" x14ac:dyDescent="0.3">
      <c r="A17" s="787" t="s">
        <v>66</v>
      </c>
      <c r="B17" s="788">
        <v>1520</v>
      </c>
      <c r="C17" s="788">
        <v>599</v>
      </c>
      <c r="D17" s="789" t="s">
        <v>70</v>
      </c>
      <c r="E17" s="825">
        <v>4.4025974025974026</v>
      </c>
      <c r="F17" s="826">
        <v>30.714285714285715</v>
      </c>
      <c r="G17" s="827">
        <v>1500000</v>
      </c>
      <c r="H17" s="843">
        <v>0.92207792207792205</v>
      </c>
      <c r="I17" s="844">
        <v>7.792207792207792E-2</v>
      </c>
      <c r="J17" s="844">
        <v>0</v>
      </c>
      <c r="K17" s="844">
        <v>0</v>
      </c>
      <c r="L17" s="845">
        <v>0</v>
      </c>
      <c r="M17" s="856">
        <v>0.5</v>
      </c>
      <c r="N17" s="857">
        <v>0.3</v>
      </c>
      <c r="O17" s="857">
        <v>0.15</v>
      </c>
      <c r="P17" s="857">
        <v>4.9999999999999996E-2</v>
      </c>
      <c r="Q17" s="858">
        <v>0</v>
      </c>
      <c r="R17" s="795">
        <f>506251.05+61145.98</f>
        <v>567397.03</v>
      </c>
      <c r="S17" s="796">
        <v>25013.81</v>
      </c>
      <c r="T17" s="797">
        <v>1070950</v>
      </c>
      <c r="U17" s="798">
        <v>30000</v>
      </c>
      <c r="V17" s="799">
        <f t="shared" si="0"/>
        <v>-0.67207792207792205</v>
      </c>
      <c r="W17" s="859" t="s">
        <v>314</v>
      </c>
      <c r="X17" s="801" t="s">
        <v>315</v>
      </c>
      <c r="Y17" s="854"/>
      <c r="Z17" s="860"/>
    </row>
    <row r="18" spans="1:26" s="752" customFormat="1" ht="99.75" x14ac:dyDescent="0.25">
      <c r="A18" s="753" t="s">
        <v>72</v>
      </c>
      <c r="B18" s="754">
        <v>1610</v>
      </c>
      <c r="C18" s="754">
        <v>610</v>
      </c>
      <c r="D18" s="755" t="s">
        <v>73</v>
      </c>
      <c r="E18" s="804">
        <v>32.141025641025642</v>
      </c>
      <c r="F18" s="805">
        <v>50.384615384615387</v>
      </c>
      <c r="G18" s="806">
        <v>48156400</v>
      </c>
      <c r="H18" s="818">
        <v>0.23076923076923078</v>
      </c>
      <c r="I18" s="819">
        <v>0.30769230769230771</v>
      </c>
      <c r="J18" s="819">
        <v>2.564102564102564E-2</v>
      </c>
      <c r="K18" s="819">
        <v>2.564102564102564E-2</v>
      </c>
      <c r="L18" s="820">
        <v>0.41025641025641024</v>
      </c>
      <c r="M18" s="833">
        <v>0.5</v>
      </c>
      <c r="N18" s="834">
        <v>0.3</v>
      </c>
      <c r="O18" s="834">
        <v>0.15</v>
      </c>
      <c r="P18" s="834">
        <v>4.9999999999999996E-2</v>
      </c>
      <c r="Q18" s="835">
        <v>0</v>
      </c>
      <c r="R18" s="763">
        <f>575786.79+3900</f>
        <v>579686.79</v>
      </c>
      <c r="S18" s="764">
        <v>318729.42</v>
      </c>
      <c r="T18" s="811"/>
      <c r="U18" s="812">
        <v>405000</v>
      </c>
      <c r="V18" s="766">
        <f t="shared" si="0"/>
        <v>1.3269230769230766</v>
      </c>
      <c r="W18" s="849" t="s">
        <v>316</v>
      </c>
      <c r="X18" s="861" t="s">
        <v>317</v>
      </c>
      <c r="Y18" s="838" t="s">
        <v>38</v>
      </c>
      <c r="Z18" s="852"/>
    </row>
    <row r="19" spans="1:26" s="752" customFormat="1" ht="86.25" thickBot="1" x14ac:dyDescent="0.3">
      <c r="A19" s="787" t="s">
        <v>72</v>
      </c>
      <c r="B19" s="788">
        <v>1620</v>
      </c>
      <c r="C19" s="788">
        <v>699</v>
      </c>
      <c r="D19" s="789" t="s">
        <v>76</v>
      </c>
      <c r="E19" s="825">
        <v>19.727272727272727</v>
      </c>
      <c r="F19" s="826">
        <v>21.363636363636363</v>
      </c>
      <c r="G19" s="827">
        <v>1891500</v>
      </c>
      <c r="H19" s="818">
        <v>0.63636363636363635</v>
      </c>
      <c r="I19" s="819">
        <v>0</v>
      </c>
      <c r="J19" s="819">
        <v>0.18181818181818182</v>
      </c>
      <c r="K19" s="819">
        <v>0.18181818181818182</v>
      </c>
      <c r="L19" s="820">
        <v>0</v>
      </c>
      <c r="M19" s="856">
        <v>0.5</v>
      </c>
      <c r="N19" s="857">
        <v>0.3</v>
      </c>
      <c r="O19" s="857">
        <v>0.15</v>
      </c>
      <c r="P19" s="857">
        <v>4.9999999999999996E-2</v>
      </c>
      <c r="Q19" s="858">
        <v>0</v>
      </c>
      <c r="R19" s="862">
        <f>7470115.76+306946.48</f>
        <v>7777062.2400000002</v>
      </c>
      <c r="S19" s="798">
        <v>1941.8</v>
      </c>
      <c r="T19" s="828">
        <v>5637900</v>
      </c>
      <c r="U19" s="796">
        <v>21000</v>
      </c>
      <c r="V19" s="799">
        <f t="shared" si="0"/>
        <v>0.15909090909090895</v>
      </c>
      <c r="W19" s="1096" t="s">
        <v>318</v>
      </c>
      <c r="X19" s="864" t="s">
        <v>78</v>
      </c>
      <c r="Y19" s="854" t="s">
        <v>38</v>
      </c>
      <c r="Z19" s="860"/>
    </row>
    <row r="20" spans="1:26" s="752" customFormat="1" ht="75.75" customHeight="1" thickBot="1" x14ac:dyDescent="0.3">
      <c r="A20" s="753" t="s">
        <v>79</v>
      </c>
      <c r="B20" s="754">
        <v>1710</v>
      </c>
      <c r="C20" s="754">
        <v>710</v>
      </c>
      <c r="D20" s="755" t="s">
        <v>80</v>
      </c>
      <c r="E20" s="804">
        <v>51.142857142857146</v>
      </c>
      <c r="F20" s="805">
        <v>38.928571428571431</v>
      </c>
      <c r="G20" s="806">
        <v>11580000</v>
      </c>
      <c r="H20" s="833">
        <v>0.2857142857142857</v>
      </c>
      <c r="I20" s="834">
        <v>7.1428571428571425E-2</v>
      </c>
      <c r="J20" s="834">
        <v>0.21428571428571427</v>
      </c>
      <c r="K20" s="834">
        <v>0.2857142857142857</v>
      </c>
      <c r="L20" s="835">
        <v>0.14285714285714285</v>
      </c>
      <c r="M20" s="833">
        <v>0.5</v>
      </c>
      <c r="N20" s="834">
        <v>0.3</v>
      </c>
      <c r="O20" s="834">
        <v>0.15</v>
      </c>
      <c r="P20" s="834">
        <v>4.9999999999999996E-2</v>
      </c>
      <c r="Q20" s="835">
        <v>0</v>
      </c>
      <c r="R20" s="865">
        <f>1048931.31+85115</f>
        <v>1134046.31</v>
      </c>
      <c r="S20" s="812">
        <v>94510.05</v>
      </c>
      <c r="T20" s="765">
        <v>746000</v>
      </c>
      <c r="U20" s="764">
        <v>92000</v>
      </c>
      <c r="V20" s="866">
        <f t="shared" si="0"/>
        <v>1.1785714285714288</v>
      </c>
      <c r="W20" s="813" t="s">
        <v>319</v>
      </c>
      <c r="X20" s="867" t="s">
        <v>320</v>
      </c>
      <c r="Y20" s="851" t="s">
        <v>38</v>
      </c>
      <c r="Z20" s="868" t="s">
        <v>321</v>
      </c>
    </row>
    <row r="21" spans="1:26" s="752" customFormat="1" ht="132.75" customHeight="1" thickBot="1" x14ac:dyDescent="0.3">
      <c r="A21" s="869" t="s">
        <v>79</v>
      </c>
      <c r="B21" s="870">
        <v>1720</v>
      </c>
      <c r="C21" s="870">
        <v>799</v>
      </c>
      <c r="D21" s="871" t="s">
        <v>83</v>
      </c>
      <c r="E21" s="872">
        <v>10.814814814814815</v>
      </c>
      <c r="F21" s="873">
        <v>14.25925925925926</v>
      </c>
      <c r="G21" s="740">
        <v>2330000</v>
      </c>
      <c r="H21" s="874">
        <v>7.407407407407407E-2</v>
      </c>
      <c r="I21" s="875">
        <v>0.59259259259259256</v>
      </c>
      <c r="J21" s="875">
        <v>0.14814814814814814</v>
      </c>
      <c r="K21" s="875">
        <v>0.18518518518518517</v>
      </c>
      <c r="L21" s="876">
        <v>0</v>
      </c>
      <c r="M21" s="877">
        <v>0.5</v>
      </c>
      <c r="N21" s="878">
        <v>0.3</v>
      </c>
      <c r="O21" s="878">
        <v>0.15</v>
      </c>
      <c r="P21" s="878">
        <v>4.9999999999999996E-2</v>
      </c>
      <c r="Q21" s="879">
        <v>0</v>
      </c>
      <c r="R21" s="880">
        <f>32167.4+32365</f>
        <v>64532.4</v>
      </c>
      <c r="S21" s="796">
        <v>214380.73</v>
      </c>
      <c r="T21" s="828">
        <v>550000</v>
      </c>
      <c r="U21" s="796">
        <v>206000</v>
      </c>
      <c r="V21" s="881">
        <f t="shared" si="0"/>
        <v>0.6944444444444442</v>
      </c>
      <c r="W21" s="829" t="s">
        <v>684</v>
      </c>
      <c r="X21" s="883" t="s">
        <v>29</v>
      </c>
      <c r="Y21" s="884" t="s">
        <v>38</v>
      </c>
      <c r="Z21" s="868" t="s">
        <v>322</v>
      </c>
    </row>
    <row r="22" spans="1:26" s="752" customFormat="1" ht="29.25" thickBot="1" x14ac:dyDescent="0.3">
      <c r="A22" s="735" t="s">
        <v>86</v>
      </c>
      <c r="B22" s="736">
        <v>1810</v>
      </c>
      <c r="C22" s="736">
        <v>899</v>
      </c>
      <c r="D22" s="737" t="s">
        <v>87</v>
      </c>
      <c r="E22" s="738">
        <v>6.375</v>
      </c>
      <c r="F22" s="885">
        <v>10</v>
      </c>
      <c r="G22" s="886">
        <v>240000</v>
      </c>
      <c r="H22" s="887">
        <v>0.125</v>
      </c>
      <c r="I22" s="888">
        <v>0.25</v>
      </c>
      <c r="J22" s="888">
        <v>0.3125</v>
      </c>
      <c r="K22" s="888">
        <v>0.3125</v>
      </c>
      <c r="L22" s="889">
        <v>0</v>
      </c>
      <c r="M22" s="887">
        <v>0.5</v>
      </c>
      <c r="N22" s="888">
        <v>0.3</v>
      </c>
      <c r="O22" s="888">
        <v>0.19999999999999998</v>
      </c>
      <c r="P22" s="888">
        <v>0</v>
      </c>
      <c r="Q22" s="889">
        <v>0</v>
      </c>
      <c r="R22" s="890">
        <f>219334.19+44914.1+961685.72+35732.5+51543.5</f>
        <v>1313210.01</v>
      </c>
      <c r="S22" s="891">
        <f>185713.6+11538.05+61106.06</f>
        <v>258357.71</v>
      </c>
      <c r="T22" s="892">
        <v>1491350</v>
      </c>
      <c r="U22" s="893">
        <v>218000</v>
      </c>
      <c r="V22" s="894">
        <f t="shared" si="0"/>
        <v>1.1124999999999998</v>
      </c>
      <c r="W22" s="1097" t="s">
        <v>323</v>
      </c>
      <c r="X22" s="896"/>
      <c r="Y22" s="897"/>
      <c r="Z22" s="868"/>
    </row>
    <row r="23" spans="1:26" s="899" customFormat="1" ht="36" customHeight="1" thickBot="1" x14ac:dyDescent="0.3">
      <c r="A23" s="898"/>
      <c r="B23" s="898"/>
      <c r="C23" s="898"/>
      <c r="D23" s="898"/>
      <c r="G23" s="900">
        <f>SUM(G3:G22)</f>
        <v>533478621</v>
      </c>
      <c r="H23" s="937">
        <f>SUM(H3:L22)</f>
        <v>18</v>
      </c>
      <c r="I23" s="938"/>
      <c r="J23" s="938"/>
      <c r="K23" s="938"/>
      <c r="L23" s="939"/>
      <c r="M23" s="937">
        <f>SUM(M3:Q22)</f>
        <v>19</v>
      </c>
      <c r="N23" s="938"/>
      <c r="O23" s="938"/>
      <c r="P23" s="938"/>
      <c r="Q23" s="939"/>
      <c r="R23" s="901">
        <f>SUM(R3:R22)</f>
        <v>30115753.43</v>
      </c>
      <c r="S23" s="902">
        <f>SUM(S3:S22)</f>
        <v>6148869.9899999993</v>
      </c>
      <c r="T23" s="903">
        <f>SUM(T3:T22)</f>
        <v>26842000</v>
      </c>
      <c r="U23" s="904">
        <f>SUM(U3:U22)</f>
        <v>7575000</v>
      </c>
      <c r="V23" s="905"/>
    </row>
    <row r="24" spans="1:26" ht="15.75" thickBot="1" x14ac:dyDescent="0.3">
      <c r="A24" s="906"/>
      <c r="B24" s="906"/>
      <c r="C24" s="906"/>
      <c r="D24" s="906"/>
      <c r="R24" s="907"/>
      <c r="S24" s="908"/>
    </row>
    <row r="25" spans="1:26" ht="30" customHeight="1" thickBot="1" x14ac:dyDescent="0.3">
      <c r="A25" s="906"/>
      <c r="B25" s="906"/>
      <c r="C25" s="906"/>
      <c r="D25" s="906"/>
      <c r="E25" s="952" t="s">
        <v>88</v>
      </c>
      <c r="F25" s="953"/>
      <c r="G25" s="953"/>
      <c r="H25" s="953"/>
      <c r="I25" s="953"/>
      <c r="J25" s="953"/>
      <c r="K25" s="953"/>
      <c r="L25" s="954"/>
      <c r="M25" s="910"/>
      <c r="N25" s="910"/>
      <c r="O25" s="911"/>
      <c r="Q25" s="911"/>
      <c r="R25" s="912"/>
      <c r="S25" s="913"/>
      <c r="T25" s="913"/>
      <c r="U25" s="913"/>
      <c r="V25" s="914"/>
      <c r="W25" s="914"/>
    </row>
    <row r="26" spans="1:26" ht="15.75" thickBot="1" x14ac:dyDescent="0.3">
      <c r="A26" s="906"/>
      <c r="B26" s="906"/>
      <c r="C26" s="906"/>
      <c r="D26" s="906"/>
      <c r="E26" s="915"/>
      <c r="F26" s="916"/>
      <c r="G26" s="916"/>
      <c r="H26" s="916"/>
      <c r="I26" s="916"/>
      <c r="J26" s="916"/>
      <c r="K26" s="916"/>
      <c r="L26" s="917"/>
    </row>
    <row r="27" spans="1:26" ht="15.75" thickBot="1" x14ac:dyDescent="0.3">
      <c r="A27" s="906"/>
      <c r="B27" s="906"/>
      <c r="C27" s="906"/>
      <c r="D27" s="906"/>
      <c r="E27" s="919"/>
      <c r="F27" s="920"/>
      <c r="G27" s="921" t="s">
        <v>89</v>
      </c>
      <c r="H27" s="922"/>
      <c r="I27" s="922"/>
      <c r="J27" s="922"/>
      <c r="K27" s="922"/>
      <c r="L27" s="923"/>
    </row>
    <row r="28" spans="1:26" ht="15.75" thickBot="1" x14ac:dyDescent="0.3">
      <c r="A28" s="906"/>
      <c r="B28" s="906"/>
      <c r="C28" s="906"/>
      <c r="D28" s="906"/>
      <c r="E28" s="919"/>
      <c r="F28" s="922"/>
      <c r="G28" s="924"/>
      <c r="H28" s="922"/>
      <c r="I28" s="922"/>
      <c r="J28" s="922"/>
      <c r="K28" s="922"/>
      <c r="L28" s="923"/>
    </row>
    <row r="29" spans="1:26" ht="15.75" thickBot="1" x14ac:dyDescent="0.3">
      <c r="A29" s="906"/>
      <c r="B29" s="906"/>
      <c r="C29" s="906"/>
      <c r="D29" s="906"/>
      <c r="E29" s="919"/>
      <c r="F29" s="925"/>
      <c r="G29" s="926" t="s">
        <v>677</v>
      </c>
      <c r="H29" s="922"/>
      <c r="I29" s="922"/>
      <c r="J29" s="922"/>
      <c r="K29" s="922"/>
      <c r="L29" s="923"/>
    </row>
    <row r="30" spans="1:26" ht="15.75" thickBot="1" x14ac:dyDescent="0.3">
      <c r="A30" s="906"/>
      <c r="B30" s="906"/>
      <c r="C30" s="906"/>
      <c r="D30" s="906"/>
      <c r="E30" s="919"/>
      <c r="F30" s="922"/>
      <c r="G30" s="924"/>
      <c r="H30" s="922"/>
      <c r="I30" s="922"/>
      <c r="J30" s="922"/>
      <c r="K30" s="922"/>
      <c r="L30" s="923"/>
    </row>
    <row r="31" spans="1:26" ht="15.75" thickBot="1" x14ac:dyDescent="0.3">
      <c r="A31" s="906"/>
      <c r="B31" s="906"/>
      <c r="C31" s="906"/>
      <c r="D31" s="906"/>
      <c r="E31" s="919"/>
      <c r="F31" s="927"/>
      <c r="G31" s="926" t="s">
        <v>678</v>
      </c>
      <c r="H31" s="922"/>
      <c r="I31" s="922"/>
      <c r="J31" s="922"/>
      <c r="K31" s="922"/>
      <c r="L31" s="923"/>
    </row>
    <row r="32" spans="1:26" ht="15.75" thickBot="1" x14ac:dyDescent="0.3">
      <c r="A32" s="906"/>
      <c r="B32" s="906"/>
      <c r="C32" s="906"/>
      <c r="D32" s="906"/>
      <c r="E32" s="919"/>
      <c r="F32" s="922"/>
      <c r="G32" s="924"/>
      <c r="H32" s="922"/>
      <c r="I32" s="922"/>
      <c r="J32" s="922"/>
      <c r="K32" s="922"/>
      <c r="L32" s="923"/>
    </row>
    <row r="33" spans="1:12" ht="15.75" thickBot="1" x14ac:dyDescent="0.3">
      <c r="A33" s="906"/>
      <c r="B33" s="906"/>
      <c r="C33" s="906"/>
      <c r="D33" s="906"/>
      <c r="E33" s="919"/>
      <c r="F33" s="928"/>
      <c r="G33" s="929" t="s">
        <v>92</v>
      </c>
      <c r="H33" s="922"/>
      <c r="I33" s="922"/>
      <c r="J33" s="922"/>
      <c r="K33" s="922"/>
      <c r="L33" s="923"/>
    </row>
    <row r="34" spans="1:12" ht="15.75" thickBot="1" x14ac:dyDescent="0.3">
      <c r="A34" s="906"/>
      <c r="B34" s="906"/>
      <c r="C34" s="906"/>
      <c r="D34" s="906"/>
      <c r="E34" s="919"/>
      <c r="F34" s="930"/>
      <c r="G34" s="924"/>
      <c r="H34" s="922"/>
      <c r="I34" s="922"/>
      <c r="J34" s="922"/>
      <c r="K34" s="922"/>
      <c r="L34" s="923"/>
    </row>
    <row r="35" spans="1:12" ht="15.75" thickBot="1" x14ac:dyDescent="0.3">
      <c r="E35" s="919"/>
      <c r="F35" s="931"/>
      <c r="G35" s="921" t="s">
        <v>93</v>
      </c>
      <c r="H35" s="922"/>
      <c r="I35" s="922"/>
      <c r="J35" s="922"/>
      <c r="K35" s="922"/>
      <c r="L35" s="923"/>
    </row>
    <row r="36" spans="1:12" ht="15.75" thickBot="1" x14ac:dyDescent="0.3">
      <c r="E36" s="919"/>
      <c r="F36" s="922"/>
      <c r="G36" s="922"/>
      <c r="H36" s="922"/>
      <c r="I36" s="922"/>
      <c r="J36" s="922"/>
      <c r="K36" s="922"/>
      <c r="L36" s="923"/>
    </row>
    <row r="37" spans="1:12" ht="15.75" thickBot="1" x14ac:dyDescent="0.3">
      <c r="E37" s="919"/>
      <c r="F37" s="932"/>
      <c r="G37" s="926" t="s">
        <v>679</v>
      </c>
      <c r="H37" s="922"/>
      <c r="I37" s="922"/>
      <c r="J37" s="922"/>
      <c r="K37" s="922"/>
      <c r="L37" s="923"/>
    </row>
    <row r="38" spans="1:12" ht="15.75" thickBot="1" x14ac:dyDescent="0.3">
      <c r="E38" s="933"/>
      <c r="F38" s="930"/>
      <c r="G38" s="930"/>
      <c r="H38" s="930"/>
      <c r="I38" s="930"/>
      <c r="J38" s="930"/>
      <c r="K38" s="930"/>
      <c r="L38" s="934"/>
    </row>
  </sheetData>
  <mergeCells count="14">
    <mergeCell ref="E25:L25"/>
    <mergeCell ref="R1:S1"/>
    <mergeCell ref="T1:U1"/>
    <mergeCell ref="V1:V2"/>
    <mergeCell ref="W1:Y1"/>
    <mergeCell ref="Z1:Z2"/>
    <mergeCell ref="H23:L23"/>
    <mergeCell ref="M23:Q23"/>
    <mergeCell ref="A1:D1"/>
    <mergeCell ref="E1:E2"/>
    <mergeCell ref="F1:F2"/>
    <mergeCell ref="G1:G2"/>
    <mergeCell ref="H1:L1"/>
    <mergeCell ref="M1:Q1"/>
  </mergeCell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7AEB1-916A-460F-9E6F-5EECCCF6738E}">
  <sheetPr codeName="Feuil1">
    <tabColor rgb="FFFF0000"/>
  </sheetPr>
  <dimension ref="A1:Z38"/>
  <sheetViews>
    <sheetView zoomScale="60" zoomScaleNormal="60" workbookViewId="0">
      <pane xSplit="1" topLeftCell="B1" activePane="topRight" state="frozen"/>
      <selection pane="topRight" activeCell="Y3" sqref="Y3"/>
    </sheetView>
  </sheetViews>
  <sheetFormatPr baseColWidth="10" defaultColWidth="11.42578125" defaultRowHeight="15" x14ac:dyDescent="0.25"/>
  <cols>
    <col min="1" max="1" width="27.5703125" style="1" customWidth="1"/>
    <col min="2" max="2" width="12.140625" style="1" customWidth="1"/>
    <col min="3" max="3" width="10.42578125" style="1" bestFit="1" customWidth="1"/>
    <col min="4" max="4" width="31.28515625" style="1" customWidth="1"/>
    <col min="5" max="5" width="8" style="1" customWidth="1"/>
    <col min="6" max="6" width="10" style="1" customWidth="1"/>
    <col min="7" max="7" width="34.140625" style="1" customWidth="1"/>
    <col min="8" max="8" width="8" style="1" bestFit="1" customWidth="1"/>
    <col min="9" max="17" width="6.85546875" style="1" customWidth="1"/>
    <col min="18" max="18" width="23.28515625" style="556" customWidth="1"/>
    <col min="19" max="19" width="21.5703125" style="194" customWidth="1"/>
    <col min="20" max="20" width="23.28515625" style="194" customWidth="1"/>
    <col min="21" max="21" width="21.5703125" style="574" customWidth="1"/>
    <col min="22" max="22" width="11.28515625" style="1" customWidth="1"/>
    <col min="23" max="23" width="68.28515625" style="1" customWidth="1"/>
    <col min="24" max="24" width="56.140625" style="1" customWidth="1"/>
    <col min="25" max="25" width="56.85546875" style="1" bestFit="1" customWidth="1"/>
    <col min="26" max="26" width="106.42578125" style="1" customWidth="1"/>
    <col min="27" max="16384" width="11.42578125" style="1"/>
  </cols>
  <sheetData>
    <row r="1" spans="1:26" ht="69.95" customHeight="1" thickBot="1" x14ac:dyDescent="0.3">
      <c r="A1" s="973" t="s">
        <v>324</v>
      </c>
      <c r="B1" s="974"/>
      <c r="C1" s="974"/>
      <c r="D1" s="975"/>
      <c r="E1" s="976" t="s">
        <v>0</v>
      </c>
      <c r="F1" s="978" t="s">
        <v>1</v>
      </c>
      <c r="G1" s="980" t="s">
        <v>2</v>
      </c>
      <c r="H1" s="982" t="s">
        <v>3</v>
      </c>
      <c r="I1" s="983"/>
      <c r="J1" s="983"/>
      <c r="K1" s="983"/>
      <c r="L1" s="984"/>
      <c r="M1" s="982" t="s">
        <v>4</v>
      </c>
      <c r="N1" s="983"/>
      <c r="O1" s="983"/>
      <c r="P1" s="983"/>
      <c r="Q1" s="984"/>
      <c r="R1" s="988" t="s">
        <v>325</v>
      </c>
      <c r="S1" s="989"/>
      <c r="T1" s="988" t="s">
        <v>326</v>
      </c>
      <c r="U1" s="989"/>
      <c r="V1" s="990" t="s">
        <v>5</v>
      </c>
      <c r="W1" s="992" t="s">
        <v>327</v>
      </c>
      <c r="X1" s="993"/>
      <c r="Y1" s="993"/>
      <c r="Z1" s="968" t="s">
        <v>6</v>
      </c>
    </row>
    <row r="2" spans="1:26" s="3" customFormat="1" ht="90.75" customHeight="1" thickBot="1" x14ac:dyDescent="0.3">
      <c r="A2" s="627" t="s">
        <v>291</v>
      </c>
      <c r="B2" s="628" t="s">
        <v>8</v>
      </c>
      <c r="C2" s="628" t="s">
        <v>9</v>
      </c>
      <c r="D2" s="629" t="s">
        <v>10</v>
      </c>
      <c r="E2" s="977"/>
      <c r="F2" s="979"/>
      <c r="G2" s="981"/>
      <c r="H2" s="268" t="s">
        <v>11</v>
      </c>
      <c r="I2" s="269" t="s">
        <v>12</v>
      </c>
      <c r="J2" s="269" t="s">
        <v>13</v>
      </c>
      <c r="K2" s="269" t="s">
        <v>14</v>
      </c>
      <c r="L2" s="270" t="s">
        <v>15</v>
      </c>
      <c r="M2" s="268" t="s">
        <v>11</v>
      </c>
      <c r="N2" s="269" t="s">
        <v>12</v>
      </c>
      <c r="O2" s="269" t="s">
        <v>13</v>
      </c>
      <c r="P2" s="269" t="s">
        <v>14</v>
      </c>
      <c r="Q2" s="270" t="s">
        <v>15</v>
      </c>
      <c r="R2" s="608" t="s">
        <v>16</v>
      </c>
      <c r="S2" s="607" t="s">
        <v>17</v>
      </c>
      <c r="T2" s="608" t="s">
        <v>16</v>
      </c>
      <c r="U2" s="607" t="s">
        <v>17</v>
      </c>
      <c r="V2" s="991"/>
      <c r="W2" s="273" t="s">
        <v>18</v>
      </c>
      <c r="X2" s="455" t="s">
        <v>19</v>
      </c>
      <c r="Y2" s="476" t="s">
        <v>20</v>
      </c>
      <c r="Z2" s="969"/>
    </row>
    <row r="3" spans="1:26" s="194" customFormat="1" ht="126" customHeight="1" thickBot="1" x14ac:dyDescent="0.3">
      <c r="A3" s="612" t="s">
        <v>21</v>
      </c>
      <c r="B3" s="294" t="s">
        <v>22</v>
      </c>
      <c r="C3" s="294">
        <v>99</v>
      </c>
      <c r="D3" s="613" t="s">
        <v>23</v>
      </c>
      <c r="E3" s="361">
        <v>49.888888888888886</v>
      </c>
      <c r="F3" s="362">
        <v>73.333333333333329</v>
      </c>
      <c r="G3" s="617">
        <v>41400000</v>
      </c>
      <c r="H3" s="375">
        <v>0.1111111111111111</v>
      </c>
      <c r="I3" s="376">
        <v>0.44444444444444442</v>
      </c>
      <c r="J3" s="376">
        <v>0.1111111111111111</v>
      </c>
      <c r="K3" s="376">
        <v>0.33333333333333331</v>
      </c>
      <c r="L3" s="377">
        <v>0</v>
      </c>
      <c r="M3" s="375">
        <v>0.5</v>
      </c>
      <c r="N3" s="376">
        <v>0.3</v>
      </c>
      <c r="O3" s="376">
        <v>0.15</v>
      </c>
      <c r="P3" s="376">
        <v>4.9999999999999996E-2</v>
      </c>
      <c r="Q3" s="377">
        <v>0</v>
      </c>
      <c r="R3" s="701">
        <v>647369.55000000005</v>
      </c>
      <c r="S3" s="637">
        <v>209554.86</v>
      </c>
      <c r="T3" s="649">
        <v>644550</v>
      </c>
      <c r="U3" s="637">
        <v>155000</v>
      </c>
      <c r="V3" s="658">
        <f t="shared" ref="V3:V22" si="0">(H3*1+I3*2+J3*3+K3*4+L3*5)-(M3*1+N3*2+O3*3+P3*4+Q3*5)</f>
        <v>0.91666666666666652</v>
      </c>
      <c r="W3" s="537" t="s">
        <v>328</v>
      </c>
      <c r="X3" s="465" t="s">
        <v>329</v>
      </c>
      <c r="Y3" s="685" t="s">
        <v>25</v>
      </c>
      <c r="Z3" s="278"/>
    </row>
    <row r="4" spans="1:26" s="194" customFormat="1" ht="42" customHeight="1" x14ac:dyDescent="0.25">
      <c r="A4" s="276" t="s">
        <v>26</v>
      </c>
      <c r="B4" s="304">
        <v>1110</v>
      </c>
      <c r="C4" s="304">
        <v>110</v>
      </c>
      <c r="D4" s="303" t="s">
        <v>27</v>
      </c>
      <c r="E4" s="363">
        <v>45</v>
      </c>
      <c r="F4" s="364">
        <v>100</v>
      </c>
      <c r="G4" s="618">
        <v>4210000</v>
      </c>
      <c r="H4" s="380">
        <v>0.14285714285714285</v>
      </c>
      <c r="I4" s="378">
        <v>0.5714285714285714</v>
      </c>
      <c r="J4" s="378">
        <v>0.14285714285714285</v>
      </c>
      <c r="K4" s="378">
        <v>0.14285714285714285</v>
      </c>
      <c r="L4" s="379">
        <v>0</v>
      </c>
      <c r="M4" s="380">
        <v>0.5</v>
      </c>
      <c r="N4" s="378">
        <v>0.3</v>
      </c>
      <c r="O4" s="378">
        <v>0.15</v>
      </c>
      <c r="P4" s="378">
        <v>4.9999999999999996E-2</v>
      </c>
      <c r="Q4" s="381">
        <v>0</v>
      </c>
      <c r="R4" s="638">
        <v>185019.32</v>
      </c>
      <c r="S4" s="639">
        <v>738.81</v>
      </c>
      <c r="T4" s="650">
        <v>1051500</v>
      </c>
      <c r="U4" s="639">
        <v>179000</v>
      </c>
      <c r="V4" s="609">
        <f t="shared" si="0"/>
        <v>0.53571428571428559</v>
      </c>
      <c r="W4" s="321" t="s">
        <v>330</v>
      </c>
      <c r="X4" s="460" t="s">
        <v>29</v>
      </c>
      <c r="Y4" s="686" t="s">
        <v>25</v>
      </c>
      <c r="Z4" s="279"/>
    </row>
    <row r="5" spans="1:26" s="194" customFormat="1" ht="30" x14ac:dyDescent="0.25">
      <c r="A5" s="614" t="s">
        <v>26</v>
      </c>
      <c r="B5" s="311">
        <v>1120</v>
      </c>
      <c r="C5" s="311">
        <v>120</v>
      </c>
      <c r="D5" s="615" t="s">
        <v>30</v>
      </c>
      <c r="E5" s="363">
        <v>102.6</v>
      </c>
      <c r="F5" s="364">
        <v>130</v>
      </c>
      <c r="G5" s="619">
        <v>114070000</v>
      </c>
      <c r="H5" s="384">
        <v>0</v>
      </c>
      <c r="I5" s="382">
        <v>0.6</v>
      </c>
      <c r="J5" s="382">
        <v>0.4</v>
      </c>
      <c r="K5" s="382">
        <v>0</v>
      </c>
      <c r="L5" s="383">
        <v>0</v>
      </c>
      <c r="M5" s="384">
        <v>0.5</v>
      </c>
      <c r="N5" s="382">
        <v>0.3</v>
      </c>
      <c r="O5" s="382">
        <v>0.15</v>
      </c>
      <c r="P5" s="382">
        <v>4.9999999999999996E-2</v>
      </c>
      <c r="Q5" s="385">
        <v>0</v>
      </c>
      <c r="R5" s="640">
        <v>78045.47</v>
      </c>
      <c r="S5" s="641">
        <v>18639.72</v>
      </c>
      <c r="T5" s="651">
        <v>57500</v>
      </c>
      <c r="U5" s="641">
        <v>0</v>
      </c>
      <c r="V5" s="610">
        <f t="shared" si="0"/>
        <v>0.65000000000000036</v>
      </c>
      <c r="W5" s="322" t="s">
        <v>294</v>
      </c>
      <c r="X5" s="463" t="s">
        <v>29</v>
      </c>
      <c r="Y5" s="687" t="s">
        <v>25</v>
      </c>
      <c r="Z5" s="280"/>
    </row>
    <row r="6" spans="1:26" s="194" customFormat="1" ht="240.75" thickBot="1" x14ac:dyDescent="0.3">
      <c r="A6" s="277" t="s">
        <v>26</v>
      </c>
      <c r="B6" s="302">
        <v>1130</v>
      </c>
      <c r="C6" s="302">
        <v>199</v>
      </c>
      <c r="D6" s="305" t="s">
        <v>31</v>
      </c>
      <c r="E6" s="363">
        <v>95.924999999999997</v>
      </c>
      <c r="F6" s="364">
        <v>116.3125</v>
      </c>
      <c r="G6" s="620">
        <v>29920000</v>
      </c>
      <c r="H6" s="388">
        <v>0.10625</v>
      </c>
      <c r="I6" s="386">
        <v>0.26250000000000001</v>
      </c>
      <c r="J6" s="386">
        <v>0.375</v>
      </c>
      <c r="K6" s="386">
        <v>0.25</v>
      </c>
      <c r="L6" s="387">
        <v>6.2500000000000003E-3</v>
      </c>
      <c r="M6" s="388">
        <v>0.5</v>
      </c>
      <c r="N6" s="386">
        <v>0.3</v>
      </c>
      <c r="O6" s="386">
        <v>0.15</v>
      </c>
      <c r="P6" s="386">
        <v>4.9999999999999996E-2</v>
      </c>
      <c r="Q6" s="389">
        <v>0</v>
      </c>
      <c r="R6" s="700">
        <v>1227663.8899999999</v>
      </c>
      <c r="S6" s="647">
        <v>899757.96</v>
      </c>
      <c r="T6" s="652">
        <v>1848100</v>
      </c>
      <c r="U6" s="643">
        <v>671000</v>
      </c>
      <c r="V6" s="611">
        <f t="shared" si="0"/>
        <v>1.0375000000000001</v>
      </c>
      <c r="W6" s="323" t="s">
        <v>331</v>
      </c>
      <c r="X6" s="461" t="s">
        <v>29</v>
      </c>
      <c r="Y6" s="688" t="s">
        <v>332</v>
      </c>
      <c r="Z6" s="659"/>
    </row>
    <row r="7" spans="1:26" s="194" customFormat="1" ht="114.95" customHeight="1" x14ac:dyDescent="0.25">
      <c r="A7" s="276" t="s">
        <v>34</v>
      </c>
      <c r="B7" s="304">
        <v>1210</v>
      </c>
      <c r="C7" s="304">
        <v>210</v>
      </c>
      <c r="D7" s="303" t="s">
        <v>35</v>
      </c>
      <c r="E7" s="365">
        <v>36.74</v>
      </c>
      <c r="F7" s="366">
        <v>26.22</v>
      </c>
      <c r="G7" s="621">
        <v>45000000</v>
      </c>
      <c r="H7" s="390">
        <v>0.1744186046511628</v>
      </c>
      <c r="I7" s="391">
        <v>0.11627906976744186</v>
      </c>
      <c r="J7" s="391">
        <v>0.12790697674418605</v>
      </c>
      <c r="K7" s="391">
        <v>0.36046511627906974</v>
      </c>
      <c r="L7" s="392">
        <v>0.22093023255813954</v>
      </c>
      <c r="M7" s="390">
        <v>0.5</v>
      </c>
      <c r="N7" s="391">
        <v>0.3</v>
      </c>
      <c r="O7" s="391">
        <v>0.15</v>
      </c>
      <c r="P7" s="391">
        <v>4.9999999999999996E-2</v>
      </c>
      <c r="Q7" s="393">
        <v>0</v>
      </c>
      <c r="R7" s="638">
        <v>5704662.8799999999</v>
      </c>
      <c r="S7" s="639">
        <v>1082154.28</v>
      </c>
      <c r="T7" s="653"/>
      <c r="U7" s="645">
        <v>1107000</v>
      </c>
      <c r="V7" s="609">
        <f t="shared" si="0"/>
        <v>1.5872093023255811</v>
      </c>
      <c r="W7" s="324" t="s">
        <v>333</v>
      </c>
      <c r="X7" s="495" t="s">
        <v>334</v>
      </c>
      <c r="Y7" s="689" t="s">
        <v>38</v>
      </c>
      <c r="Z7" s="284"/>
    </row>
    <row r="8" spans="1:26" s="194" customFormat="1" ht="93" customHeight="1" x14ac:dyDescent="0.25">
      <c r="A8" s="614" t="s">
        <v>34</v>
      </c>
      <c r="B8" s="311">
        <v>1220</v>
      </c>
      <c r="C8" s="311">
        <v>220</v>
      </c>
      <c r="D8" s="615" t="s">
        <v>39</v>
      </c>
      <c r="E8" s="363">
        <v>33.569230769230771</v>
      </c>
      <c r="F8" s="364">
        <v>25.92</v>
      </c>
      <c r="G8" s="622">
        <v>18700000</v>
      </c>
      <c r="H8" s="394">
        <v>0.13846153846153847</v>
      </c>
      <c r="I8" s="395">
        <v>0.16923076923076924</v>
      </c>
      <c r="J8" s="395">
        <v>0.1076923076923077</v>
      </c>
      <c r="K8" s="395">
        <v>0.36923076923076925</v>
      </c>
      <c r="L8" s="396">
        <v>0.2153846153846154</v>
      </c>
      <c r="M8" s="394">
        <v>0.5</v>
      </c>
      <c r="N8" s="395">
        <v>0.3</v>
      </c>
      <c r="O8" s="395">
        <v>0.15</v>
      </c>
      <c r="P8" s="395">
        <v>4.9999999999999996E-2</v>
      </c>
      <c r="Q8" s="397">
        <v>0</v>
      </c>
      <c r="R8" s="640">
        <v>810705.9</v>
      </c>
      <c r="S8" s="641">
        <v>434499.83</v>
      </c>
      <c r="T8" s="651"/>
      <c r="U8" s="641">
        <v>336000</v>
      </c>
      <c r="V8" s="610">
        <f t="shared" si="0"/>
        <v>1.6038461538461539</v>
      </c>
      <c r="W8" s="325" t="s">
        <v>335</v>
      </c>
      <c r="X8" s="463" t="s">
        <v>336</v>
      </c>
      <c r="Y8" s="689" t="s">
        <v>38</v>
      </c>
      <c r="Z8" s="630"/>
    </row>
    <row r="9" spans="1:26" s="194" customFormat="1" ht="121.5" customHeight="1" thickBot="1" x14ac:dyDescent="0.3">
      <c r="A9" s="277" t="s">
        <v>34</v>
      </c>
      <c r="B9" s="302">
        <v>1230</v>
      </c>
      <c r="C9" s="302">
        <v>299</v>
      </c>
      <c r="D9" s="305" t="s">
        <v>42</v>
      </c>
      <c r="E9" s="367">
        <v>34.78</v>
      </c>
      <c r="F9" s="368">
        <v>27.82</v>
      </c>
      <c r="G9" s="623">
        <v>29700000</v>
      </c>
      <c r="H9" s="394">
        <v>0.19191919191919191</v>
      </c>
      <c r="I9" s="395">
        <v>6.0606060606060608E-2</v>
      </c>
      <c r="J9" s="395">
        <v>0.13804713804713806</v>
      </c>
      <c r="K9" s="395">
        <v>0.49831649831649832</v>
      </c>
      <c r="L9" s="396">
        <v>0.1111111111111111</v>
      </c>
      <c r="M9" s="394">
        <v>0.5</v>
      </c>
      <c r="N9" s="395">
        <v>0.3</v>
      </c>
      <c r="O9" s="395">
        <v>0.15</v>
      </c>
      <c r="P9" s="395">
        <v>4.9999999999999996E-2</v>
      </c>
      <c r="Q9" s="397">
        <v>0</v>
      </c>
      <c r="R9" s="700">
        <v>6887160.5</v>
      </c>
      <c r="S9" s="647">
        <v>127724.7</v>
      </c>
      <c r="T9" s="654">
        <v>6786400</v>
      </c>
      <c r="U9" s="647">
        <v>201000</v>
      </c>
      <c r="V9" s="611">
        <f t="shared" si="0"/>
        <v>1.5260942760942759</v>
      </c>
      <c r="W9" s="357" t="s">
        <v>337</v>
      </c>
      <c r="X9" s="482" t="s">
        <v>338</v>
      </c>
      <c r="Y9" s="690" t="s">
        <v>38</v>
      </c>
      <c r="Z9" s="283"/>
    </row>
    <row r="10" spans="1:26" s="194" customFormat="1" ht="94.5" customHeight="1" x14ac:dyDescent="0.25">
      <c r="A10" s="276" t="s">
        <v>45</v>
      </c>
      <c r="B10" s="304">
        <v>1310</v>
      </c>
      <c r="C10" s="304">
        <v>310</v>
      </c>
      <c r="D10" s="303" t="s">
        <v>46</v>
      </c>
      <c r="E10" s="365">
        <v>13.833333333333334</v>
      </c>
      <c r="F10" s="366">
        <v>25</v>
      </c>
      <c r="G10" s="707">
        <f>27500000+1208134+434040.95-386716.53</f>
        <v>28755458.419999998</v>
      </c>
      <c r="H10" s="398">
        <v>0.13333333333333333</v>
      </c>
      <c r="I10" s="399">
        <v>6.6666666666666666E-2</v>
      </c>
      <c r="J10" s="399">
        <v>0.13333333333333333</v>
      </c>
      <c r="K10" s="399">
        <v>0.23333333333333334</v>
      </c>
      <c r="L10" s="400">
        <v>0.43333333333333335</v>
      </c>
      <c r="M10" s="398">
        <v>0.3</v>
      </c>
      <c r="N10" s="399">
        <v>0.5</v>
      </c>
      <c r="O10" s="399">
        <v>0.19999999999999998</v>
      </c>
      <c r="P10" s="399">
        <v>0</v>
      </c>
      <c r="Q10" s="400">
        <v>0</v>
      </c>
      <c r="R10" s="638">
        <v>3742396.52</v>
      </c>
      <c r="S10" s="639">
        <v>751352.34</v>
      </c>
      <c r="T10" s="650"/>
      <c r="U10" s="639">
        <v>826000</v>
      </c>
      <c r="V10" s="609">
        <f t="shared" si="0"/>
        <v>1.8666666666666671</v>
      </c>
      <c r="W10" s="327" t="s">
        <v>339</v>
      </c>
      <c r="X10" s="507" t="s">
        <v>340</v>
      </c>
      <c r="Y10" s="691" t="s">
        <v>38</v>
      </c>
      <c r="Z10" s="660" t="s">
        <v>341</v>
      </c>
    </row>
    <row r="11" spans="1:26" s="194" customFormat="1" ht="45" x14ac:dyDescent="0.25">
      <c r="A11" s="614" t="s">
        <v>45</v>
      </c>
      <c r="B11" s="311" t="s">
        <v>49</v>
      </c>
      <c r="C11" s="311">
        <v>351</v>
      </c>
      <c r="D11" s="615" t="s">
        <v>50</v>
      </c>
      <c r="E11" s="363">
        <v>5.96</v>
      </c>
      <c r="F11" s="364">
        <v>57.98</v>
      </c>
      <c r="G11" s="622">
        <v>335000</v>
      </c>
      <c r="H11" s="394">
        <v>0.42307692307692307</v>
      </c>
      <c r="I11" s="395">
        <v>0.15384615384615385</v>
      </c>
      <c r="J11" s="395">
        <v>0.30769230769230771</v>
      </c>
      <c r="K11" s="395">
        <v>0</v>
      </c>
      <c r="L11" s="397">
        <v>0.11538461538461539</v>
      </c>
      <c r="M11" s="394">
        <v>0.3</v>
      </c>
      <c r="N11" s="395">
        <v>0.5</v>
      </c>
      <c r="O11" s="395">
        <v>0.19999999999999998</v>
      </c>
      <c r="P11" s="395">
        <v>0</v>
      </c>
      <c r="Q11" s="397">
        <v>0</v>
      </c>
      <c r="R11" s="640">
        <v>458455.4</v>
      </c>
      <c r="S11" s="641">
        <v>2406.4299999999998</v>
      </c>
      <c r="T11" s="651"/>
      <c r="U11" s="641">
        <v>121000</v>
      </c>
      <c r="V11" s="610">
        <f t="shared" si="0"/>
        <v>0.33076923076923093</v>
      </c>
      <c r="W11" s="325" t="s">
        <v>342</v>
      </c>
      <c r="X11" s="508" t="s">
        <v>343</v>
      </c>
      <c r="Y11" s="692" t="s">
        <v>38</v>
      </c>
      <c r="Z11" s="312"/>
    </row>
    <row r="12" spans="1:26" s="194" customFormat="1" ht="45" x14ac:dyDescent="0.25">
      <c r="A12" s="614" t="s">
        <v>45</v>
      </c>
      <c r="B12" s="311" t="s">
        <v>49</v>
      </c>
      <c r="C12" s="311">
        <v>352</v>
      </c>
      <c r="D12" s="615" t="s">
        <v>53</v>
      </c>
      <c r="E12" s="363">
        <v>26.86</v>
      </c>
      <c r="F12" s="364">
        <v>33</v>
      </c>
      <c r="G12" s="622">
        <v>8400000</v>
      </c>
      <c r="H12" s="394">
        <v>0.2857142857142857</v>
      </c>
      <c r="I12" s="395">
        <v>0.14285714285714285</v>
      </c>
      <c r="J12" s="395">
        <v>0</v>
      </c>
      <c r="K12" s="395">
        <v>0.14285714285714285</v>
      </c>
      <c r="L12" s="397">
        <v>0.42857142857142855</v>
      </c>
      <c r="M12" s="394">
        <v>0.3</v>
      </c>
      <c r="N12" s="395">
        <v>0.5</v>
      </c>
      <c r="O12" s="395">
        <v>0.19999999999999998</v>
      </c>
      <c r="P12" s="395">
        <v>0</v>
      </c>
      <c r="Q12" s="397">
        <v>0</v>
      </c>
      <c r="R12" s="640">
        <v>130625.68</v>
      </c>
      <c r="S12" s="641">
        <v>133777.62</v>
      </c>
      <c r="T12" s="651"/>
      <c r="U12" s="641">
        <v>178000</v>
      </c>
      <c r="V12" s="610">
        <f t="shared" si="0"/>
        <v>1.3857142857142857</v>
      </c>
      <c r="W12" s="325" t="s">
        <v>344</v>
      </c>
      <c r="X12" s="508" t="s">
        <v>345</v>
      </c>
      <c r="Y12" s="692" t="s">
        <v>38</v>
      </c>
      <c r="Z12" s="312"/>
    </row>
    <row r="13" spans="1:26" s="194" customFormat="1" ht="60.75" thickBot="1" x14ac:dyDescent="0.3">
      <c r="A13" s="277" t="s">
        <v>45</v>
      </c>
      <c r="B13" s="302" t="s">
        <v>49</v>
      </c>
      <c r="C13" s="302">
        <v>399</v>
      </c>
      <c r="D13" s="305" t="s">
        <v>56</v>
      </c>
      <c r="E13" s="706">
        <v>0</v>
      </c>
      <c r="F13" s="705">
        <v>0</v>
      </c>
      <c r="G13" s="704">
        <v>0</v>
      </c>
      <c r="H13" s="682">
        <v>1</v>
      </c>
      <c r="I13" s="683">
        <v>0</v>
      </c>
      <c r="J13" s="683">
        <v>0</v>
      </c>
      <c r="K13" s="683">
        <v>0</v>
      </c>
      <c r="L13" s="684">
        <v>0</v>
      </c>
      <c r="M13" s="401">
        <v>0.3</v>
      </c>
      <c r="N13" s="402">
        <v>0.5</v>
      </c>
      <c r="O13" s="402">
        <v>0.2</v>
      </c>
      <c r="P13" s="402">
        <v>0</v>
      </c>
      <c r="Q13" s="403">
        <v>0</v>
      </c>
      <c r="R13" s="700">
        <v>-386716.53</v>
      </c>
      <c r="S13" s="647">
        <v>82821.81</v>
      </c>
      <c r="T13" s="652">
        <v>6300000</v>
      </c>
      <c r="U13" s="643">
        <v>185000</v>
      </c>
      <c r="V13" s="611">
        <f t="shared" si="0"/>
        <v>-0.90000000000000013</v>
      </c>
      <c r="W13" s="454" t="s">
        <v>346</v>
      </c>
      <c r="X13" s="480" t="s">
        <v>347</v>
      </c>
      <c r="Y13" s="693" t="s">
        <v>25</v>
      </c>
      <c r="Z13" s="283" t="s">
        <v>341</v>
      </c>
    </row>
    <row r="14" spans="1:26" s="194" customFormat="1" ht="154.5" customHeight="1" x14ac:dyDescent="0.25">
      <c r="A14" s="276" t="s">
        <v>59</v>
      </c>
      <c r="B14" s="304">
        <v>1410</v>
      </c>
      <c r="C14" s="304">
        <v>410</v>
      </c>
      <c r="D14" s="303" t="s">
        <v>60</v>
      </c>
      <c r="E14" s="365">
        <v>18.940000000000001</v>
      </c>
      <c r="F14" s="366">
        <v>26.42</v>
      </c>
      <c r="G14" s="621">
        <v>91000000</v>
      </c>
      <c r="H14" s="398">
        <v>0.29767441860465116</v>
      </c>
      <c r="I14" s="399">
        <v>0.2</v>
      </c>
      <c r="J14" s="399">
        <v>0.18604651162790697</v>
      </c>
      <c r="K14" s="399">
        <v>0.13023255813953488</v>
      </c>
      <c r="L14" s="400">
        <v>0.18604651162790697</v>
      </c>
      <c r="M14" s="398">
        <v>0.5</v>
      </c>
      <c r="N14" s="399">
        <v>0.3</v>
      </c>
      <c r="O14" s="399">
        <v>0.19999999999999998</v>
      </c>
      <c r="P14" s="399">
        <v>0</v>
      </c>
      <c r="Q14" s="400">
        <v>0</v>
      </c>
      <c r="R14" s="638">
        <v>7224810.7400000002</v>
      </c>
      <c r="S14" s="639">
        <v>119168.44</v>
      </c>
      <c r="T14" s="653"/>
      <c r="U14" s="645">
        <v>91000</v>
      </c>
      <c r="V14" s="609">
        <f t="shared" si="0"/>
        <v>1.0069767441860464</v>
      </c>
      <c r="W14" s="699" t="s">
        <v>348</v>
      </c>
      <c r="X14" s="496" t="s">
        <v>349</v>
      </c>
      <c r="Y14" s="694" t="s">
        <v>38</v>
      </c>
      <c r="Z14" s="282"/>
    </row>
    <row r="15" spans="1:26" s="194" customFormat="1" ht="162.75" customHeight="1" thickBot="1" x14ac:dyDescent="0.3">
      <c r="A15" s="277" t="s">
        <v>59</v>
      </c>
      <c r="B15" s="302">
        <v>1420</v>
      </c>
      <c r="C15" s="302">
        <v>499</v>
      </c>
      <c r="D15" s="305" t="s">
        <v>63</v>
      </c>
      <c r="E15" s="367">
        <v>12.6</v>
      </c>
      <c r="F15" s="368">
        <v>17.75</v>
      </c>
      <c r="G15" s="623">
        <v>21500000</v>
      </c>
      <c r="H15" s="401">
        <v>0.25</v>
      </c>
      <c r="I15" s="402">
        <v>0.35</v>
      </c>
      <c r="J15" s="402">
        <v>2.5000000000000001E-2</v>
      </c>
      <c r="K15" s="402">
        <v>0.125</v>
      </c>
      <c r="L15" s="403">
        <v>0.25</v>
      </c>
      <c r="M15" s="401">
        <v>0.39999999999999997</v>
      </c>
      <c r="N15" s="402">
        <v>0.35</v>
      </c>
      <c r="O15" s="402">
        <v>0.25</v>
      </c>
      <c r="P15" s="402">
        <v>0</v>
      </c>
      <c r="Q15" s="403">
        <v>0</v>
      </c>
      <c r="R15" s="700">
        <v>-578188.09</v>
      </c>
      <c r="S15" s="647">
        <v>95706.23</v>
      </c>
      <c r="T15" s="654">
        <v>3514750</v>
      </c>
      <c r="U15" s="647">
        <v>146000</v>
      </c>
      <c r="V15" s="611">
        <f t="shared" si="0"/>
        <v>0.92500000000000004</v>
      </c>
      <c r="W15" s="329"/>
      <c r="X15" s="480" t="s">
        <v>349</v>
      </c>
      <c r="Y15" s="695" t="s">
        <v>38</v>
      </c>
      <c r="Z15" s="283"/>
    </row>
    <row r="16" spans="1:26" s="194" customFormat="1" ht="45" x14ac:dyDescent="0.25">
      <c r="A16" s="276" t="s">
        <v>66</v>
      </c>
      <c r="B16" s="304">
        <v>1510</v>
      </c>
      <c r="C16" s="304">
        <v>510</v>
      </c>
      <c r="D16" s="303" t="s">
        <v>67</v>
      </c>
      <c r="E16" s="371">
        <v>3.64</v>
      </c>
      <c r="F16" s="372">
        <v>18.8</v>
      </c>
      <c r="G16" s="621">
        <v>2000000</v>
      </c>
      <c r="H16" s="398">
        <v>0.72</v>
      </c>
      <c r="I16" s="399">
        <v>0.24</v>
      </c>
      <c r="J16" s="399">
        <v>0</v>
      </c>
      <c r="K16" s="399">
        <v>0</v>
      </c>
      <c r="L16" s="400">
        <v>0.04</v>
      </c>
      <c r="M16" s="398">
        <v>0.44999999999999996</v>
      </c>
      <c r="N16" s="399">
        <v>0.35</v>
      </c>
      <c r="O16" s="399">
        <v>9.9999999999999992E-2</v>
      </c>
      <c r="P16" s="399">
        <v>9.9999999999999992E-2</v>
      </c>
      <c r="Q16" s="400">
        <v>0</v>
      </c>
      <c r="R16" s="638">
        <v>627661.38</v>
      </c>
      <c r="S16" s="639">
        <v>62861.22</v>
      </c>
      <c r="T16" s="650"/>
      <c r="U16" s="639">
        <v>72000</v>
      </c>
      <c r="V16" s="609">
        <f t="shared" si="0"/>
        <v>-0.44999999999999996</v>
      </c>
      <c r="W16" s="625" t="s">
        <v>350</v>
      </c>
      <c r="X16" s="460" t="s">
        <v>351</v>
      </c>
      <c r="Y16" s="694" t="s">
        <v>38</v>
      </c>
      <c r="Z16" s="282"/>
    </row>
    <row r="17" spans="1:26" s="194" customFormat="1" ht="115.5" customHeight="1" thickBot="1" x14ac:dyDescent="0.3">
      <c r="A17" s="277" t="s">
        <v>66</v>
      </c>
      <c r="B17" s="302">
        <v>1520</v>
      </c>
      <c r="C17" s="302">
        <v>599</v>
      </c>
      <c r="D17" s="305" t="s">
        <v>70</v>
      </c>
      <c r="E17" s="369">
        <v>2.0699999999999998</v>
      </c>
      <c r="F17" s="370">
        <v>35.24</v>
      </c>
      <c r="G17" s="623">
        <v>1500000</v>
      </c>
      <c r="H17" s="401">
        <v>1</v>
      </c>
      <c r="I17" s="402">
        <v>0</v>
      </c>
      <c r="J17" s="402">
        <v>0</v>
      </c>
      <c r="K17" s="402">
        <v>0</v>
      </c>
      <c r="L17" s="403">
        <v>0</v>
      </c>
      <c r="M17" s="404">
        <v>0.5</v>
      </c>
      <c r="N17" s="405">
        <v>0.3</v>
      </c>
      <c r="O17" s="405">
        <v>0.15</v>
      </c>
      <c r="P17" s="405">
        <v>4.9999999999999996E-2</v>
      </c>
      <c r="Q17" s="406">
        <v>0</v>
      </c>
      <c r="R17" s="700">
        <v>550643.62</v>
      </c>
      <c r="S17" s="647">
        <v>20764.189999999999</v>
      </c>
      <c r="T17" s="652">
        <v>1169950</v>
      </c>
      <c r="U17" s="643">
        <v>8000</v>
      </c>
      <c r="V17" s="611">
        <f t="shared" si="0"/>
        <v>-0.75</v>
      </c>
      <c r="W17" s="626" t="s">
        <v>352</v>
      </c>
      <c r="X17" s="461" t="s">
        <v>353</v>
      </c>
      <c r="Y17" s="695" t="s">
        <v>25</v>
      </c>
      <c r="Z17" s="356"/>
    </row>
    <row r="18" spans="1:26" s="194" customFormat="1" ht="101.45" customHeight="1" x14ac:dyDescent="0.25">
      <c r="A18" s="276" t="s">
        <v>72</v>
      </c>
      <c r="B18" s="304">
        <v>1610</v>
      </c>
      <c r="C18" s="304">
        <v>610</v>
      </c>
      <c r="D18" s="303" t="s">
        <v>73</v>
      </c>
      <c r="E18" s="365">
        <v>15.467532467532468</v>
      </c>
      <c r="F18" s="366">
        <v>36.467532467532465</v>
      </c>
      <c r="G18" s="621">
        <v>40300000</v>
      </c>
      <c r="H18" s="394">
        <v>0.22077922077922077</v>
      </c>
      <c r="I18" s="395">
        <v>0.31168831168831168</v>
      </c>
      <c r="J18" s="395">
        <v>2.5974025974025976E-2</v>
      </c>
      <c r="K18" s="395">
        <v>2.5974025974025976E-2</v>
      </c>
      <c r="L18" s="396">
        <v>0.41558441558441561</v>
      </c>
      <c r="M18" s="398">
        <v>0.5</v>
      </c>
      <c r="N18" s="399">
        <v>0.3</v>
      </c>
      <c r="O18" s="399">
        <v>0.15</v>
      </c>
      <c r="P18" s="399">
        <v>4.9999999999999996E-2</v>
      </c>
      <c r="Q18" s="400">
        <v>0</v>
      </c>
      <c r="R18" s="638">
        <v>3254098.01</v>
      </c>
      <c r="S18" s="639">
        <v>423502.59</v>
      </c>
      <c r="T18" s="653"/>
      <c r="U18" s="645">
        <v>402000</v>
      </c>
      <c r="V18" s="609">
        <f t="shared" si="0"/>
        <v>1.3538961038961039</v>
      </c>
      <c r="W18" s="324" t="s">
        <v>354</v>
      </c>
      <c r="X18" s="462" t="s">
        <v>355</v>
      </c>
      <c r="Y18" s="694" t="s">
        <v>38</v>
      </c>
      <c r="Z18" s="282"/>
    </row>
    <row r="19" spans="1:26" s="194" customFormat="1" ht="81.75" customHeight="1" thickBot="1" x14ac:dyDescent="0.3">
      <c r="A19" s="277" t="s">
        <v>72</v>
      </c>
      <c r="B19" s="302">
        <v>1620</v>
      </c>
      <c r="C19" s="302">
        <v>699</v>
      </c>
      <c r="D19" s="305" t="s">
        <v>76</v>
      </c>
      <c r="E19" s="367">
        <v>2.3333333333333335</v>
      </c>
      <c r="F19" s="368">
        <v>14.444444444444445</v>
      </c>
      <c r="G19" s="623">
        <v>10000000</v>
      </c>
      <c r="H19" s="394">
        <v>0.55555555555555558</v>
      </c>
      <c r="I19" s="395">
        <v>0</v>
      </c>
      <c r="J19" s="395">
        <v>0.22222222222222221</v>
      </c>
      <c r="K19" s="395">
        <v>0.22222222222222221</v>
      </c>
      <c r="L19" s="396">
        <v>0</v>
      </c>
      <c r="M19" s="404">
        <v>0.5</v>
      </c>
      <c r="N19" s="405">
        <v>0.3</v>
      </c>
      <c r="O19" s="405">
        <v>0.15</v>
      </c>
      <c r="P19" s="405">
        <v>4.9999999999999996E-2</v>
      </c>
      <c r="Q19" s="406">
        <v>0</v>
      </c>
      <c r="R19" s="702">
        <v>-1143960.44</v>
      </c>
      <c r="S19" s="643">
        <v>10817.86</v>
      </c>
      <c r="T19" s="654">
        <v>5421500</v>
      </c>
      <c r="U19" s="647">
        <v>54000</v>
      </c>
      <c r="V19" s="611">
        <f t="shared" si="0"/>
        <v>0.36111111111111116</v>
      </c>
      <c r="W19" s="633" t="s">
        <v>356</v>
      </c>
      <c r="X19" s="467"/>
      <c r="Y19" s="695" t="s">
        <v>25</v>
      </c>
      <c r="Z19" s="356"/>
    </row>
    <row r="20" spans="1:26" s="194" customFormat="1" ht="75.75" customHeight="1" thickBot="1" x14ac:dyDescent="0.3">
      <c r="A20" s="276" t="s">
        <v>79</v>
      </c>
      <c r="B20" s="304">
        <v>1710</v>
      </c>
      <c r="C20" s="304">
        <v>710</v>
      </c>
      <c r="D20" s="303" t="s">
        <v>80</v>
      </c>
      <c r="E20" s="365">
        <v>51.61</v>
      </c>
      <c r="F20" s="366">
        <v>40.56</v>
      </c>
      <c r="G20" s="621">
        <v>7700000</v>
      </c>
      <c r="H20" s="398">
        <v>0.16666666666666666</v>
      </c>
      <c r="I20" s="399">
        <v>5.5555555555555552E-2</v>
      </c>
      <c r="J20" s="399">
        <v>0.1111111111111111</v>
      </c>
      <c r="K20" s="399">
        <v>0.33333333333333331</v>
      </c>
      <c r="L20" s="400">
        <v>0.33333333333333331</v>
      </c>
      <c r="M20" s="398">
        <v>0.5</v>
      </c>
      <c r="N20" s="399">
        <v>0.3</v>
      </c>
      <c r="O20" s="399">
        <v>0.15</v>
      </c>
      <c r="P20" s="399">
        <v>4.9999999999999996E-2</v>
      </c>
      <c r="Q20" s="400">
        <v>0</v>
      </c>
      <c r="R20" s="644">
        <v>5663190.0300000003</v>
      </c>
      <c r="S20" s="645">
        <v>16616.330000000002</v>
      </c>
      <c r="T20" s="650">
        <v>1350000</v>
      </c>
      <c r="U20" s="639">
        <v>8000</v>
      </c>
      <c r="V20" s="632">
        <f t="shared" si="0"/>
        <v>1.8611111111111107</v>
      </c>
      <c r="W20" s="327" t="s">
        <v>357</v>
      </c>
      <c r="X20" s="657" t="s">
        <v>29</v>
      </c>
      <c r="Y20" s="694" t="s">
        <v>38</v>
      </c>
      <c r="Z20" s="634" t="s">
        <v>358</v>
      </c>
    </row>
    <row r="21" spans="1:26" s="194" customFormat="1" ht="78.75" customHeight="1" thickBot="1" x14ac:dyDescent="0.3">
      <c r="A21" s="661" t="s">
        <v>79</v>
      </c>
      <c r="B21" s="662">
        <v>1720</v>
      </c>
      <c r="C21" s="662">
        <v>799</v>
      </c>
      <c r="D21" s="663" t="s">
        <v>83</v>
      </c>
      <c r="E21" s="664">
        <v>9.7899999999999991</v>
      </c>
      <c r="F21" s="665">
        <v>14.11</v>
      </c>
      <c r="G21" s="617">
        <v>2720000</v>
      </c>
      <c r="H21" s="666">
        <v>7.1428571428571425E-2</v>
      </c>
      <c r="I21" s="667">
        <v>0.5714285714285714</v>
      </c>
      <c r="J21" s="667">
        <v>0.14285714285714285</v>
      </c>
      <c r="K21" s="667">
        <v>0.21428571428571427</v>
      </c>
      <c r="L21" s="668">
        <v>0</v>
      </c>
      <c r="M21" s="669">
        <v>0.5</v>
      </c>
      <c r="N21" s="670">
        <v>0.3</v>
      </c>
      <c r="O21" s="670">
        <v>0.15</v>
      </c>
      <c r="P21" s="670">
        <v>4.9999999999999996E-2</v>
      </c>
      <c r="Q21" s="671">
        <v>0</v>
      </c>
      <c r="R21" s="646">
        <v>92070</v>
      </c>
      <c r="S21" s="647">
        <v>75475.570000000007</v>
      </c>
      <c r="T21" s="654">
        <v>30000</v>
      </c>
      <c r="U21" s="647">
        <v>28000</v>
      </c>
      <c r="V21" s="672">
        <f t="shared" si="0"/>
        <v>0.75</v>
      </c>
      <c r="W21" s="357" t="s">
        <v>359</v>
      </c>
      <c r="X21" s="657" t="s">
        <v>29</v>
      </c>
      <c r="Y21" s="696" t="s">
        <v>25</v>
      </c>
      <c r="Z21" s="634" t="s">
        <v>360</v>
      </c>
    </row>
    <row r="22" spans="1:26" s="194" customFormat="1" ht="30.75" thickBot="1" x14ac:dyDescent="0.3">
      <c r="A22" s="612" t="s">
        <v>86</v>
      </c>
      <c r="B22" s="294">
        <v>1810</v>
      </c>
      <c r="C22" s="294">
        <v>899</v>
      </c>
      <c r="D22" s="613" t="s">
        <v>87</v>
      </c>
      <c r="E22" s="673">
        <v>5.8</v>
      </c>
      <c r="F22" s="674">
        <v>10</v>
      </c>
      <c r="G22" s="675">
        <v>2150000</v>
      </c>
      <c r="H22" s="407">
        <v>0.26666666666666666</v>
      </c>
      <c r="I22" s="408">
        <v>0.73333333333333328</v>
      </c>
      <c r="J22" s="408">
        <v>0</v>
      </c>
      <c r="K22" s="408">
        <v>0</v>
      </c>
      <c r="L22" s="409">
        <v>0</v>
      </c>
      <c r="M22" s="407">
        <v>0.5</v>
      </c>
      <c r="N22" s="408">
        <v>0.3</v>
      </c>
      <c r="O22" s="408">
        <v>0.19999999999999998</v>
      </c>
      <c r="P22" s="408">
        <v>0</v>
      </c>
      <c r="Q22" s="409">
        <v>0</v>
      </c>
      <c r="R22" s="703">
        <v>201296.67</v>
      </c>
      <c r="S22" s="677">
        <v>554484.49</v>
      </c>
      <c r="T22" s="678">
        <v>771750</v>
      </c>
      <c r="U22" s="679">
        <v>332000</v>
      </c>
      <c r="V22" s="680">
        <f t="shared" si="0"/>
        <v>3.3333333333332993E-2</v>
      </c>
      <c r="W22" s="681" t="s">
        <v>361</v>
      </c>
      <c r="X22" s="593"/>
      <c r="Y22" s="697" t="s">
        <v>25</v>
      </c>
      <c r="Z22" s="634"/>
    </row>
    <row r="23" spans="1:26" s="262" customFormat="1" ht="36" customHeight="1" thickBot="1" x14ac:dyDescent="0.3">
      <c r="A23" s="261"/>
      <c r="B23" s="261"/>
      <c r="C23" s="261"/>
      <c r="D23" s="261"/>
      <c r="G23" s="624">
        <f>SUM(G3:G22)</f>
        <v>499360458.42000002</v>
      </c>
      <c r="H23" s="970">
        <f>SUM(H3:L22)</f>
        <v>20.000000000000004</v>
      </c>
      <c r="I23" s="971"/>
      <c r="J23" s="971"/>
      <c r="K23" s="971"/>
      <c r="L23" s="972"/>
      <c r="M23" s="970">
        <f>SUM(M3:Q22)</f>
        <v>20</v>
      </c>
      <c r="N23" s="971"/>
      <c r="O23" s="971"/>
      <c r="P23" s="971"/>
      <c r="Q23" s="972"/>
      <c r="R23" s="648">
        <f>SUM(R3:R22)</f>
        <v>35377010.5</v>
      </c>
      <c r="S23" s="635">
        <f>SUM(S3:S22)</f>
        <v>5122825.2800000012</v>
      </c>
      <c r="T23" s="655">
        <f>SUM(T3:T22)</f>
        <v>28946000</v>
      </c>
      <c r="U23" s="656">
        <f>SUM(U3:U22)</f>
        <v>5100000</v>
      </c>
      <c r="V23" s="601"/>
    </row>
    <row r="24" spans="1:26" ht="15.75" thickBot="1" x14ac:dyDescent="0.3">
      <c r="A24" s="2"/>
      <c r="B24" s="2"/>
      <c r="C24" s="2"/>
      <c r="D24" s="2"/>
      <c r="R24" s="578"/>
      <c r="S24" s="576"/>
    </row>
    <row r="25" spans="1:26" ht="30" customHeight="1" thickBot="1" x14ac:dyDescent="0.3">
      <c r="A25" s="2"/>
      <c r="B25" s="2"/>
      <c r="C25" s="2"/>
      <c r="D25" s="2"/>
      <c r="E25" s="985" t="s">
        <v>88</v>
      </c>
      <c r="F25" s="986"/>
      <c r="G25" s="986"/>
      <c r="H25" s="986"/>
      <c r="I25" s="986"/>
      <c r="J25" s="986"/>
      <c r="K25" s="986"/>
      <c r="L25" s="987"/>
      <c r="M25" s="534"/>
      <c r="N25" s="534"/>
      <c r="O25" s="535"/>
      <c r="Q25" s="535"/>
      <c r="R25" s="616"/>
      <c r="S25" s="542"/>
      <c r="T25" s="542"/>
      <c r="U25" s="542"/>
      <c r="V25" s="600"/>
      <c r="W25" s="600"/>
    </row>
    <row r="26" spans="1:26" ht="15.75" thickBot="1" x14ac:dyDescent="0.3">
      <c r="A26" s="2"/>
      <c r="B26" s="2"/>
      <c r="C26" s="2"/>
      <c r="D26" s="2"/>
      <c r="E26" s="425"/>
      <c r="F26" s="426"/>
      <c r="G26" s="426"/>
      <c r="H26" s="426"/>
      <c r="I26" s="426"/>
      <c r="J26" s="426"/>
      <c r="K26" s="426"/>
      <c r="L26" s="427"/>
    </row>
    <row r="27" spans="1:26" ht="15.75" thickBot="1" x14ac:dyDescent="0.3">
      <c r="A27" s="2"/>
      <c r="B27" s="2"/>
      <c r="C27" s="2"/>
      <c r="D27" s="2"/>
      <c r="E27" s="423"/>
      <c r="F27" s="410"/>
      <c r="G27" s="521" t="s">
        <v>362</v>
      </c>
      <c r="H27" s="421"/>
      <c r="I27" s="421"/>
      <c r="J27" s="421"/>
      <c r="K27" s="421"/>
      <c r="L27" s="422"/>
    </row>
    <row r="28" spans="1:26" ht="15.75" thickBot="1" x14ac:dyDescent="0.3">
      <c r="A28" s="2"/>
      <c r="B28" s="2"/>
      <c r="C28" s="2"/>
      <c r="D28" s="2"/>
      <c r="E28" s="423"/>
      <c r="F28" s="421"/>
      <c r="G28" s="522"/>
      <c r="H28" s="421"/>
      <c r="I28" s="421"/>
      <c r="J28" s="421"/>
      <c r="K28" s="421"/>
      <c r="L28" s="422"/>
    </row>
    <row r="29" spans="1:26" ht="15.75" thickBot="1" x14ac:dyDescent="0.3">
      <c r="A29" s="2"/>
      <c r="B29" s="2"/>
      <c r="C29" s="2"/>
      <c r="D29" s="2"/>
      <c r="E29" s="423"/>
      <c r="F29" s="134"/>
      <c r="G29" s="523" t="s">
        <v>90</v>
      </c>
      <c r="H29" s="421"/>
      <c r="I29" s="421"/>
      <c r="J29" s="421"/>
      <c r="K29" s="421"/>
      <c r="L29" s="422"/>
    </row>
    <row r="30" spans="1:26" ht="15.75" thickBot="1" x14ac:dyDescent="0.3">
      <c r="A30" s="2"/>
      <c r="B30" s="2"/>
      <c r="C30" s="2"/>
      <c r="D30" s="2"/>
      <c r="E30" s="423"/>
      <c r="F30" s="421"/>
      <c r="G30" s="522"/>
      <c r="H30" s="421"/>
      <c r="I30" s="421"/>
      <c r="J30" s="421"/>
      <c r="K30" s="421"/>
      <c r="L30" s="422"/>
    </row>
    <row r="31" spans="1:26" ht="15.75" thickBot="1" x14ac:dyDescent="0.3">
      <c r="A31" s="2"/>
      <c r="B31" s="2"/>
      <c r="C31" s="2"/>
      <c r="D31" s="2"/>
      <c r="E31" s="423"/>
      <c r="F31" s="135"/>
      <c r="G31" s="523" t="s">
        <v>91</v>
      </c>
      <c r="H31" s="421"/>
      <c r="I31" s="421"/>
      <c r="J31" s="421"/>
      <c r="K31" s="421"/>
      <c r="L31" s="422"/>
    </row>
    <row r="32" spans="1:26" ht="15.75" thickBot="1" x14ac:dyDescent="0.3">
      <c r="A32" s="2"/>
      <c r="B32" s="2"/>
      <c r="C32" s="2"/>
      <c r="D32" s="2"/>
      <c r="E32" s="423"/>
      <c r="F32" s="421"/>
      <c r="G32" s="522"/>
      <c r="H32" s="421"/>
      <c r="I32" s="421"/>
      <c r="J32" s="421"/>
      <c r="K32" s="421"/>
      <c r="L32" s="422"/>
    </row>
    <row r="33" spans="1:12" ht="15.75" thickBot="1" x14ac:dyDescent="0.3">
      <c r="A33" s="2"/>
      <c r="B33" s="2"/>
      <c r="C33" s="2"/>
      <c r="D33" s="2"/>
      <c r="E33" s="423"/>
      <c r="F33" s="519"/>
      <c r="G33" s="520" t="s">
        <v>92</v>
      </c>
      <c r="H33" s="421"/>
      <c r="I33" s="421"/>
      <c r="J33" s="421"/>
      <c r="K33" s="421"/>
      <c r="L33" s="422"/>
    </row>
    <row r="34" spans="1:12" ht="15.75" thickBot="1" x14ac:dyDescent="0.3">
      <c r="A34" s="2"/>
      <c r="B34" s="2"/>
      <c r="C34" s="2"/>
      <c r="D34" s="2"/>
      <c r="E34" s="423"/>
      <c r="F34" s="418"/>
      <c r="G34" s="522"/>
      <c r="H34" s="421"/>
      <c r="I34" s="421"/>
      <c r="J34" s="421"/>
      <c r="K34" s="421"/>
      <c r="L34" s="422"/>
    </row>
    <row r="35" spans="1:12" ht="15.75" thickBot="1" x14ac:dyDescent="0.3">
      <c r="E35" s="423"/>
      <c r="F35" s="698"/>
      <c r="G35" s="521" t="s">
        <v>363</v>
      </c>
      <c r="H35" s="421"/>
      <c r="I35" s="421"/>
      <c r="J35" s="421"/>
      <c r="K35" s="421"/>
      <c r="L35" s="422"/>
    </row>
    <row r="36" spans="1:12" ht="15.75" thickBot="1" x14ac:dyDescent="0.3">
      <c r="E36" s="423"/>
      <c r="F36" s="421"/>
      <c r="G36" s="421"/>
      <c r="H36" s="421"/>
      <c r="I36" s="421"/>
      <c r="J36" s="421"/>
      <c r="K36" s="421"/>
      <c r="L36" s="422"/>
    </row>
    <row r="37" spans="1:12" ht="15.75" thickBot="1" x14ac:dyDescent="0.3">
      <c r="E37" s="423"/>
      <c r="F37" s="494"/>
      <c r="G37" s="523" t="s">
        <v>364</v>
      </c>
      <c r="H37" s="421"/>
      <c r="I37" s="421"/>
      <c r="J37" s="421"/>
      <c r="K37" s="421"/>
      <c r="L37" s="422"/>
    </row>
    <row r="38" spans="1:12" ht="15.75" thickBot="1" x14ac:dyDescent="0.3">
      <c r="E38" s="417"/>
      <c r="F38" s="418"/>
      <c r="G38" s="418"/>
      <c r="H38" s="418"/>
      <c r="I38" s="418"/>
      <c r="J38" s="418"/>
      <c r="K38" s="418"/>
      <c r="L38" s="419"/>
    </row>
  </sheetData>
  <autoFilter ref="A2:D23" xr:uid="{56C7AEB1-916A-460F-9E6F-5EECCCF6738E}"/>
  <mergeCells count="14">
    <mergeCell ref="E25:L25"/>
    <mergeCell ref="R1:S1"/>
    <mergeCell ref="T1:U1"/>
    <mergeCell ref="V1:V2"/>
    <mergeCell ref="W1:Y1"/>
    <mergeCell ref="Z1:Z2"/>
    <mergeCell ref="H23:L23"/>
    <mergeCell ref="M23:Q23"/>
    <mergeCell ref="A1:D1"/>
    <mergeCell ref="E1:E2"/>
    <mergeCell ref="F1:F2"/>
    <mergeCell ref="G1:G2"/>
    <mergeCell ref="H1:L1"/>
    <mergeCell ref="M1:Q1"/>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FBF7B-6231-4429-9EDF-11C15AD87E6F}">
  <sheetPr codeName="Feuil4">
    <tabColor rgb="FFFF0000"/>
  </sheetPr>
  <dimension ref="A1:Z36"/>
  <sheetViews>
    <sheetView zoomScale="60" zoomScaleNormal="60" workbookViewId="0">
      <pane xSplit="4" ySplit="2" topLeftCell="E4" activePane="bottomRight" state="frozen"/>
      <selection pane="topRight" activeCell="E1" sqref="E1"/>
      <selection pane="bottomLeft" activeCell="A3" sqref="A3"/>
      <selection pane="bottomRight" activeCell="M23" sqref="M23:Q23"/>
    </sheetView>
  </sheetViews>
  <sheetFormatPr baseColWidth="10" defaultColWidth="11.42578125" defaultRowHeight="15" x14ac:dyDescent="0.25"/>
  <cols>
    <col min="1" max="1" width="27.5703125" style="1" customWidth="1"/>
    <col min="2" max="2" width="12.140625" style="1" customWidth="1"/>
    <col min="3" max="3" width="10.42578125" style="1" bestFit="1" customWidth="1"/>
    <col min="4" max="4" width="31.28515625" style="1" customWidth="1"/>
    <col min="5" max="5" width="8" style="1" bestFit="1" customWidth="1"/>
    <col min="6" max="6" width="10" style="1" customWidth="1"/>
    <col min="7" max="7" width="33.28515625" style="1" customWidth="1"/>
    <col min="8" max="17" width="6.85546875" style="1" bestFit="1" customWidth="1"/>
    <col min="18" max="18" width="21.5703125" style="556" customWidth="1"/>
    <col min="19" max="19" width="21.5703125" style="194" customWidth="1"/>
    <col min="20" max="20" width="23.28515625" style="194" bestFit="1" customWidth="1"/>
    <col min="21" max="21" width="21.5703125" style="574" customWidth="1"/>
    <col min="22" max="22" width="11.28515625" style="1" bestFit="1" customWidth="1"/>
    <col min="23" max="23" width="68.28515625" style="1" customWidth="1"/>
    <col min="24" max="24" width="56.140625" style="1" customWidth="1"/>
    <col min="25" max="25" width="56.85546875" style="1" bestFit="1" customWidth="1"/>
    <col min="26" max="26" width="106.42578125" style="1" customWidth="1"/>
    <col min="27" max="16384" width="11.42578125" style="1"/>
  </cols>
  <sheetData>
    <row r="1" spans="1:26" ht="69.95" customHeight="1" thickBot="1" x14ac:dyDescent="0.3">
      <c r="A1" s="973" t="s">
        <v>365</v>
      </c>
      <c r="B1" s="974"/>
      <c r="C1" s="974"/>
      <c r="D1" s="975"/>
      <c r="E1" s="976" t="s">
        <v>0</v>
      </c>
      <c r="F1" s="978" t="s">
        <v>1</v>
      </c>
      <c r="G1" s="980" t="s">
        <v>2</v>
      </c>
      <c r="H1" s="982" t="s">
        <v>3</v>
      </c>
      <c r="I1" s="983"/>
      <c r="J1" s="983"/>
      <c r="K1" s="983"/>
      <c r="L1" s="984"/>
      <c r="M1" s="982" t="s">
        <v>4</v>
      </c>
      <c r="N1" s="983"/>
      <c r="O1" s="983"/>
      <c r="P1" s="983"/>
      <c r="Q1" s="984"/>
      <c r="R1" s="988" t="s">
        <v>366</v>
      </c>
      <c r="S1" s="989"/>
      <c r="T1" s="988" t="s">
        <v>367</v>
      </c>
      <c r="U1" s="989"/>
      <c r="V1" s="990" t="s">
        <v>5</v>
      </c>
      <c r="W1" s="992" t="s">
        <v>368</v>
      </c>
      <c r="X1" s="993"/>
      <c r="Y1" s="993"/>
      <c r="Z1" s="968" t="s">
        <v>6</v>
      </c>
    </row>
    <row r="2" spans="1:26" s="3" customFormat="1" ht="83.25" customHeight="1" thickBot="1" x14ac:dyDescent="0.3">
      <c r="A2" s="627" t="s">
        <v>291</v>
      </c>
      <c r="B2" s="628" t="s">
        <v>8</v>
      </c>
      <c r="C2" s="628" t="s">
        <v>9</v>
      </c>
      <c r="D2" s="629" t="s">
        <v>10</v>
      </c>
      <c r="E2" s="977"/>
      <c r="F2" s="979"/>
      <c r="G2" s="981"/>
      <c r="H2" s="268" t="s">
        <v>11</v>
      </c>
      <c r="I2" s="269" t="s">
        <v>12</v>
      </c>
      <c r="J2" s="269" t="s">
        <v>13</v>
      </c>
      <c r="K2" s="269" t="s">
        <v>14</v>
      </c>
      <c r="L2" s="270" t="s">
        <v>15</v>
      </c>
      <c r="M2" s="268" t="s">
        <v>11</v>
      </c>
      <c r="N2" s="269" t="s">
        <v>12</v>
      </c>
      <c r="O2" s="269" t="s">
        <v>13</v>
      </c>
      <c r="P2" s="269" t="s">
        <v>14</v>
      </c>
      <c r="Q2" s="270" t="s">
        <v>15</v>
      </c>
      <c r="R2" s="608" t="s">
        <v>16</v>
      </c>
      <c r="S2" s="607" t="s">
        <v>17</v>
      </c>
      <c r="T2" s="608" t="s">
        <v>16</v>
      </c>
      <c r="U2" s="607" t="s">
        <v>17</v>
      </c>
      <c r="V2" s="991"/>
      <c r="W2" s="273" t="s">
        <v>18</v>
      </c>
      <c r="X2" s="455" t="s">
        <v>19</v>
      </c>
      <c r="Y2" s="476" t="s">
        <v>20</v>
      </c>
      <c r="Z2" s="969"/>
    </row>
    <row r="3" spans="1:26" s="194" customFormat="1" ht="98.25" customHeight="1" thickBot="1" x14ac:dyDescent="0.3">
      <c r="A3" s="612" t="s">
        <v>21</v>
      </c>
      <c r="B3" s="294" t="s">
        <v>22</v>
      </c>
      <c r="C3" s="294">
        <v>99</v>
      </c>
      <c r="D3" s="613" t="s">
        <v>23</v>
      </c>
      <c r="E3" s="361">
        <v>48.888888888888886</v>
      </c>
      <c r="F3" s="362">
        <v>73.333333333333329</v>
      </c>
      <c r="G3" s="617">
        <v>40900000</v>
      </c>
      <c r="H3" s="375">
        <v>0.12</v>
      </c>
      <c r="I3" s="376">
        <v>0.44</v>
      </c>
      <c r="J3" s="376">
        <v>0.11</v>
      </c>
      <c r="K3" s="376">
        <v>0.33</v>
      </c>
      <c r="L3" s="377">
        <v>0</v>
      </c>
      <c r="M3" s="375">
        <v>0.5</v>
      </c>
      <c r="N3" s="376">
        <v>0.3</v>
      </c>
      <c r="O3" s="376">
        <v>0.15</v>
      </c>
      <c r="P3" s="376">
        <v>4.9999999999999996E-2</v>
      </c>
      <c r="Q3" s="377">
        <v>0</v>
      </c>
      <c r="R3" s="636">
        <f>-916761.35+29299.5</f>
        <v>-887461.85</v>
      </c>
      <c r="S3" s="637">
        <v>231966.73</v>
      </c>
      <c r="T3" s="649">
        <v>323180</v>
      </c>
      <c r="U3" s="637">
        <v>84000</v>
      </c>
      <c r="V3" s="658">
        <f t="shared" ref="V3:V22" si="0">(H3*1+I3*2+J3*3+K3*4+L3*5)-(M3*1+N3*2+O3*3+P3*4+Q3*5)</f>
        <v>0.90000000000000036</v>
      </c>
      <c r="W3" s="537" t="s">
        <v>369</v>
      </c>
      <c r="X3" s="465" t="s">
        <v>29</v>
      </c>
      <c r="Y3" s="478" t="s">
        <v>25</v>
      </c>
      <c r="Z3" s="278"/>
    </row>
    <row r="4" spans="1:26" s="194" customFormat="1" ht="30" x14ac:dyDescent="0.25">
      <c r="A4" s="276" t="s">
        <v>26</v>
      </c>
      <c r="B4" s="304">
        <v>1110</v>
      </c>
      <c r="C4" s="304">
        <v>110</v>
      </c>
      <c r="D4" s="303" t="s">
        <v>27</v>
      </c>
      <c r="E4" s="363">
        <v>44</v>
      </c>
      <c r="F4" s="364">
        <v>100</v>
      </c>
      <c r="G4" s="618">
        <v>4210000</v>
      </c>
      <c r="H4" s="380">
        <v>0.15</v>
      </c>
      <c r="I4" s="378">
        <v>0.56999999999999995</v>
      </c>
      <c r="J4" s="378">
        <v>0.14000000000000001</v>
      </c>
      <c r="K4" s="378">
        <v>0.14000000000000001</v>
      </c>
      <c r="L4" s="379">
        <v>0</v>
      </c>
      <c r="M4" s="380">
        <v>0.5</v>
      </c>
      <c r="N4" s="378">
        <v>0.3</v>
      </c>
      <c r="O4" s="378">
        <v>0.15</v>
      </c>
      <c r="P4" s="378">
        <v>4.9999999999999996E-2</v>
      </c>
      <c r="Q4" s="381">
        <v>0</v>
      </c>
      <c r="R4" s="638">
        <f>41166.93+22020.5-0.01</f>
        <v>63187.42</v>
      </c>
      <c r="S4" s="639">
        <v>53044.53</v>
      </c>
      <c r="T4" s="650">
        <v>46300</v>
      </c>
      <c r="U4" s="639">
        <v>72000</v>
      </c>
      <c r="V4" s="609">
        <f t="shared" si="0"/>
        <v>0.52</v>
      </c>
      <c r="W4" s="321" t="s">
        <v>370</v>
      </c>
      <c r="X4" s="460" t="s">
        <v>29</v>
      </c>
      <c r="Y4" s="471" t="s">
        <v>25</v>
      </c>
      <c r="Z4" s="279"/>
    </row>
    <row r="5" spans="1:26" s="194" customFormat="1" ht="30" x14ac:dyDescent="0.25">
      <c r="A5" s="614" t="s">
        <v>26</v>
      </c>
      <c r="B5" s="311">
        <v>1120</v>
      </c>
      <c r="C5" s="311">
        <v>120</v>
      </c>
      <c r="D5" s="615" t="s">
        <v>30</v>
      </c>
      <c r="E5" s="363">
        <v>101.6</v>
      </c>
      <c r="F5" s="364">
        <v>130</v>
      </c>
      <c r="G5" s="619">
        <v>114070000</v>
      </c>
      <c r="H5" s="384">
        <v>0</v>
      </c>
      <c r="I5" s="382">
        <v>0.6</v>
      </c>
      <c r="J5" s="382">
        <v>0.4</v>
      </c>
      <c r="K5" s="382">
        <v>0</v>
      </c>
      <c r="L5" s="383">
        <v>0</v>
      </c>
      <c r="M5" s="384">
        <v>0.5</v>
      </c>
      <c r="N5" s="382">
        <v>0.3</v>
      </c>
      <c r="O5" s="382">
        <v>0.15</v>
      </c>
      <c r="P5" s="382">
        <v>4.9999999999999996E-2</v>
      </c>
      <c r="Q5" s="385">
        <v>0</v>
      </c>
      <c r="R5" s="640">
        <f>345709.76+46168.5-0.01</f>
        <v>391878.25</v>
      </c>
      <c r="S5" s="641"/>
      <c r="T5" s="651">
        <v>147800</v>
      </c>
      <c r="U5" s="641">
        <v>16000</v>
      </c>
      <c r="V5" s="610">
        <f t="shared" si="0"/>
        <v>0.65000000000000036</v>
      </c>
      <c r="W5" s="322" t="s">
        <v>371</v>
      </c>
      <c r="X5" s="463" t="s">
        <v>29</v>
      </c>
      <c r="Y5" s="458" t="s">
        <v>25</v>
      </c>
      <c r="Z5" s="280"/>
    </row>
    <row r="6" spans="1:26" s="194" customFormat="1" ht="56.25" customHeight="1" thickBot="1" x14ac:dyDescent="0.3">
      <c r="A6" s="277" t="s">
        <v>26</v>
      </c>
      <c r="B6" s="302">
        <v>1130</v>
      </c>
      <c r="C6" s="302">
        <v>199</v>
      </c>
      <c r="D6" s="305" t="s">
        <v>31</v>
      </c>
      <c r="E6" s="363">
        <v>96.48</v>
      </c>
      <c r="F6" s="364">
        <v>115.19</v>
      </c>
      <c r="G6" s="620">
        <v>29620000</v>
      </c>
      <c r="H6" s="388">
        <v>0.1</v>
      </c>
      <c r="I6" s="386">
        <v>0.27</v>
      </c>
      <c r="J6" s="386">
        <v>0.38</v>
      </c>
      <c r="K6" s="386">
        <v>0.24</v>
      </c>
      <c r="L6" s="387">
        <v>0.01</v>
      </c>
      <c r="M6" s="388">
        <v>0.5</v>
      </c>
      <c r="N6" s="386">
        <v>0.3</v>
      </c>
      <c r="O6" s="386">
        <v>0.15</v>
      </c>
      <c r="P6" s="386">
        <v>4.9999999999999996E-2</v>
      </c>
      <c r="Q6" s="389">
        <v>0</v>
      </c>
      <c r="R6" s="642">
        <f>1361654.73+139449.7+0.01</f>
        <v>1501104.44</v>
      </c>
      <c r="S6" s="643">
        <v>528713.15</v>
      </c>
      <c r="T6" s="652">
        <v>1191630</v>
      </c>
      <c r="U6" s="643">
        <v>519000</v>
      </c>
      <c r="V6" s="611">
        <f t="shared" si="0"/>
        <v>1.04</v>
      </c>
      <c r="W6" s="323" t="s">
        <v>372</v>
      </c>
      <c r="X6" s="461" t="s">
        <v>29</v>
      </c>
      <c r="Y6" s="456" t="s">
        <v>373</v>
      </c>
      <c r="Z6" s="659"/>
    </row>
    <row r="7" spans="1:26" s="194" customFormat="1" ht="81" customHeight="1" x14ac:dyDescent="0.25">
      <c r="A7" s="276" t="s">
        <v>34</v>
      </c>
      <c r="B7" s="304">
        <v>1210</v>
      </c>
      <c r="C7" s="304">
        <v>210</v>
      </c>
      <c r="D7" s="303" t="s">
        <v>35</v>
      </c>
      <c r="E7" s="365">
        <v>36.627906976744185</v>
      </c>
      <c r="F7" s="366">
        <v>26.220930232558139</v>
      </c>
      <c r="G7" s="621">
        <v>45000000</v>
      </c>
      <c r="H7" s="390">
        <v>0.13</v>
      </c>
      <c r="I7" s="391">
        <v>0.15</v>
      </c>
      <c r="J7" s="391">
        <v>0.12</v>
      </c>
      <c r="K7" s="391">
        <v>0.41</v>
      </c>
      <c r="L7" s="392">
        <v>0.19</v>
      </c>
      <c r="M7" s="390">
        <v>0.5</v>
      </c>
      <c r="N7" s="391">
        <v>0.3</v>
      </c>
      <c r="O7" s="391">
        <v>0.15</v>
      </c>
      <c r="P7" s="391">
        <v>4.9999999999999996E-2</v>
      </c>
      <c r="Q7" s="393">
        <v>0</v>
      </c>
      <c r="R7" s="644">
        <f>89943.18+0.01</f>
        <v>89943.189999999988</v>
      </c>
      <c r="S7" s="645">
        <v>1328639.47</v>
      </c>
      <c r="T7" s="653"/>
      <c r="U7" s="645">
        <v>910000</v>
      </c>
      <c r="V7" s="609">
        <f t="shared" si="0"/>
        <v>1.63</v>
      </c>
      <c r="W7" s="324" t="s">
        <v>374</v>
      </c>
      <c r="X7" s="495" t="s">
        <v>334</v>
      </c>
      <c r="Y7" s="457" t="s">
        <v>375</v>
      </c>
      <c r="Z7" s="284"/>
    </row>
    <row r="8" spans="1:26" s="194" customFormat="1" ht="72" customHeight="1" x14ac:dyDescent="0.25">
      <c r="A8" s="614" t="s">
        <v>34</v>
      </c>
      <c r="B8" s="311">
        <v>1220</v>
      </c>
      <c r="C8" s="311">
        <v>220</v>
      </c>
      <c r="D8" s="615" t="s">
        <v>39</v>
      </c>
      <c r="E8" s="363">
        <v>32.476923076923079</v>
      </c>
      <c r="F8" s="364">
        <v>25.923076923076923</v>
      </c>
      <c r="G8" s="622">
        <v>18700000</v>
      </c>
      <c r="H8" s="394">
        <v>0.11</v>
      </c>
      <c r="I8" s="395">
        <v>0.2</v>
      </c>
      <c r="J8" s="395">
        <v>0.09</v>
      </c>
      <c r="K8" s="395">
        <v>0.35</v>
      </c>
      <c r="L8" s="396">
        <v>0.25</v>
      </c>
      <c r="M8" s="394">
        <v>0.5</v>
      </c>
      <c r="N8" s="395">
        <v>0.3</v>
      </c>
      <c r="O8" s="395">
        <v>0.15</v>
      </c>
      <c r="P8" s="395">
        <v>4.9999999999999996E-2</v>
      </c>
      <c r="Q8" s="397">
        <v>0</v>
      </c>
      <c r="R8" s="640"/>
      <c r="S8" s="641">
        <v>264099.46000000002</v>
      </c>
      <c r="T8" s="651"/>
      <c r="U8" s="641">
        <v>414000</v>
      </c>
      <c r="V8" s="610">
        <f t="shared" si="0"/>
        <v>1.6799999999999997</v>
      </c>
      <c r="W8" s="325" t="s">
        <v>376</v>
      </c>
      <c r="X8" s="463" t="s">
        <v>336</v>
      </c>
      <c r="Y8" s="457" t="s">
        <v>377</v>
      </c>
      <c r="Z8" s="630"/>
    </row>
    <row r="9" spans="1:26" s="194" customFormat="1" ht="75.75" thickBot="1" x14ac:dyDescent="0.3">
      <c r="A9" s="277" t="s">
        <v>34</v>
      </c>
      <c r="B9" s="302">
        <v>1230</v>
      </c>
      <c r="C9" s="302">
        <v>299</v>
      </c>
      <c r="D9" s="305" t="s">
        <v>42</v>
      </c>
      <c r="E9" s="367">
        <v>34.063063063063062</v>
      </c>
      <c r="F9" s="368">
        <v>30.45945945945946</v>
      </c>
      <c r="G9" s="623">
        <v>28200000</v>
      </c>
      <c r="H9" s="394">
        <v>0.18</v>
      </c>
      <c r="I9" s="395">
        <v>0.06</v>
      </c>
      <c r="J9" s="395">
        <v>0.18</v>
      </c>
      <c r="K9" s="395">
        <v>0.41</v>
      </c>
      <c r="L9" s="396">
        <v>0.17</v>
      </c>
      <c r="M9" s="394">
        <v>0.5</v>
      </c>
      <c r="N9" s="395">
        <v>0.3</v>
      </c>
      <c r="O9" s="395">
        <v>0.15</v>
      </c>
      <c r="P9" s="395">
        <v>4.9999999999999996E-2</v>
      </c>
      <c r="Q9" s="397">
        <v>0</v>
      </c>
      <c r="R9" s="646">
        <f>3242756.61+378344.5</f>
        <v>3621101.11</v>
      </c>
      <c r="S9" s="647">
        <v>113097.60000000001</v>
      </c>
      <c r="T9" s="654">
        <v>7934500</v>
      </c>
      <c r="U9" s="647">
        <v>248000</v>
      </c>
      <c r="V9" s="611">
        <f t="shared" si="0"/>
        <v>1.58</v>
      </c>
      <c r="W9" s="357" t="s">
        <v>378</v>
      </c>
      <c r="X9" s="482" t="s">
        <v>379</v>
      </c>
      <c r="Y9" s="470" t="s">
        <v>380</v>
      </c>
      <c r="Z9" s="283"/>
    </row>
    <row r="10" spans="1:26" s="194" customFormat="1" ht="81" customHeight="1" x14ac:dyDescent="0.25">
      <c r="A10" s="276" t="s">
        <v>45</v>
      </c>
      <c r="B10" s="304">
        <v>1310</v>
      </c>
      <c r="C10" s="304">
        <v>310</v>
      </c>
      <c r="D10" s="303" t="s">
        <v>46</v>
      </c>
      <c r="E10" s="365">
        <v>16.3</v>
      </c>
      <c r="F10" s="366">
        <v>25</v>
      </c>
      <c r="G10" s="621">
        <v>27000000</v>
      </c>
      <c r="H10" s="398">
        <v>0.11</v>
      </c>
      <c r="I10" s="399">
        <v>0.03</v>
      </c>
      <c r="J10" s="399">
        <v>0.2</v>
      </c>
      <c r="K10" s="399">
        <v>0.33</v>
      </c>
      <c r="L10" s="400">
        <v>0.33</v>
      </c>
      <c r="M10" s="398">
        <v>0.3</v>
      </c>
      <c r="N10" s="399">
        <v>0.5</v>
      </c>
      <c r="O10" s="399">
        <v>0.19999999999999998</v>
      </c>
      <c r="P10" s="399">
        <v>0</v>
      </c>
      <c r="Q10" s="400">
        <v>0</v>
      </c>
      <c r="R10" s="638">
        <v>169373.24</v>
      </c>
      <c r="S10" s="639">
        <v>549424.9</v>
      </c>
      <c r="T10" s="650"/>
      <c r="U10" s="639">
        <v>791000</v>
      </c>
      <c r="V10" s="609">
        <f t="shared" si="0"/>
        <v>1.8400000000000003</v>
      </c>
      <c r="W10" s="327" t="s">
        <v>381</v>
      </c>
      <c r="X10" s="507" t="s">
        <v>382</v>
      </c>
      <c r="Y10" s="473" t="s">
        <v>383</v>
      </c>
      <c r="Z10" s="660"/>
    </row>
    <row r="11" spans="1:26" s="194" customFormat="1" ht="30" x14ac:dyDescent="0.25">
      <c r="A11" s="614" t="s">
        <v>45</v>
      </c>
      <c r="B11" s="311" t="s">
        <v>49</v>
      </c>
      <c r="C11" s="311">
        <v>351</v>
      </c>
      <c r="D11" s="615" t="s">
        <v>50</v>
      </c>
      <c r="E11" s="363">
        <v>6.2222222222222223</v>
      </c>
      <c r="F11" s="364">
        <v>57.666666666666664</v>
      </c>
      <c r="G11" s="622">
        <v>285000</v>
      </c>
      <c r="H11" s="394">
        <v>0.33</v>
      </c>
      <c r="I11" s="395">
        <v>0.18</v>
      </c>
      <c r="J11" s="395">
        <v>0.36</v>
      </c>
      <c r="K11" s="395">
        <v>0</v>
      </c>
      <c r="L11" s="397">
        <v>0.13</v>
      </c>
      <c r="M11" s="394">
        <v>0.3</v>
      </c>
      <c r="N11" s="395">
        <v>0.5</v>
      </c>
      <c r="O11" s="395">
        <v>0.19999999999999998</v>
      </c>
      <c r="P11" s="395">
        <v>0</v>
      </c>
      <c r="Q11" s="397">
        <v>0</v>
      </c>
      <c r="R11" s="640"/>
      <c r="S11" s="641">
        <v>48872.45</v>
      </c>
      <c r="T11" s="651"/>
      <c r="U11" s="641">
        <v>80000</v>
      </c>
      <c r="V11" s="610">
        <f t="shared" si="0"/>
        <v>0.52</v>
      </c>
      <c r="W11" s="325"/>
      <c r="X11" s="508" t="s">
        <v>384</v>
      </c>
      <c r="Y11" s="509" t="s">
        <v>377</v>
      </c>
      <c r="Z11" s="312"/>
    </row>
    <row r="12" spans="1:26" s="194" customFormat="1" ht="45" x14ac:dyDescent="0.25">
      <c r="A12" s="614" t="s">
        <v>45</v>
      </c>
      <c r="B12" s="311" t="s">
        <v>49</v>
      </c>
      <c r="C12" s="311">
        <v>352</v>
      </c>
      <c r="D12" s="615" t="s">
        <v>53</v>
      </c>
      <c r="E12" s="363">
        <v>25.857142857142858</v>
      </c>
      <c r="F12" s="364">
        <v>33</v>
      </c>
      <c r="G12" s="622">
        <v>8400000</v>
      </c>
      <c r="H12" s="394">
        <v>0.28999999999999998</v>
      </c>
      <c r="I12" s="395">
        <v>0.14000000000000001</v>
      </c>
      <c r="J12" s="395">
        <v>0</v>
      </c>
      <c r="K12" s="395">
        <v>0.14000000000000001</v>
      </c>
      <c r="L12" s="397">
        <v>0.43</v>
      </c>
      <c r="M12" s="394">
        <v>0.3</v>
      </c>
      <c r="N12" s="395">
        <v>0.5</v>
      </c>
      <c r="O12" s="395">
        <v>0.19999999999999998</v>
      </c>
      <c r="P12" s="395">
        <v>0</v>
      </c>
      <c r="Q12" s="397">
        <v>0</v>
      </c>
      <c r="R12" s="640">
        <f>39875.2+19880</f>
        <v>59755.199999999997</v>
      </c>
      <c r="S12" s="641">
        <v>62147.7</v>
      </c>
      <c r="T12" s="651"/>
      <c r="U12" s="641">
        <v>37000</v>
      </c>
      <c r="V12" s="610">
        <f t="shared" si="0"/>
        <v>1.3800000000000003</v>
      </c>
      <c r="W12" s="325" t="s">
        <v>385</v>
      </c>
      <c r="X12" s="631" t="s">
        <v>386</v>
      </c>
      <c r="Y12" s="509" t="s">
        <v>387</v>
      </c>
      <c r="Z12" s="312"/>
    </row>
    <row r="13" spans="1:26" s="194" customFormat="1" ht="30.75" thickBot="1" x14ac:dyDescent="0.3">
      <c r="A13" s="277" t="s">
        <v>45</v>
      </c>
      <c r="B13" s="302" t="s">
        <v>49</v>
      </c>
      <c r="C13" s="302">
        <v>399</v>
      </c>
      <c r="D13" s="305" t="s">
        <v>56</v>
      </c>
      <c r="E13" s="369">
        <v>2</v>
      </c>
      <c r="F13" s="370">
        <v>40</v>
      </c>
      <c r="G13" s="623">
        <v>1208134</v>
      </c>
      <c r="H13" s="401">
        <v>1</v>
      </c>
      <c r="I13" s="402">
        <v>0</v>
      </c>
      <c r="J13" s="402">
        <v>0</v>
      </c>
      <c r="K13" s="402">
        <v>0</v>
      </c>
      <c r="L13" s="403">
        <v>0</v>
      </c>
      <c r="M13" s="401">
        <v>0.3</v>
      </c>
      <c r="N13" s="402">
        <v>0.5</v>
      </c>
      <c r="O13" s="402">
        <v>0.2</v>
      </c>
      <c r="P13" s="402">
        <v>0</v>
      </c>
      <c r="Q13" s="403">
        <v>0</v>
      </c>
      <c r="R13" s="642">
        <f>269371.65+164669.3</f>
        <v>434040.95</v>
      </c>
      <c r="S13" s="643">
        <v>182774.69</v>
      </c>
      <c r="T13" s="652">
        <v>5123940</v>
      </c>
      <c r="U13" s="643">
        <v>248000</v>
      </c>
      <c r="V13" s="611">
        <f t="shared" si="0"/>
        <v>-0.90000000000000013</v>
      </c>
      <c r="W13" s="454" t="s">
        <v>388</v>
      </c>
      <c r="X13" s="480" t="s">
        <v>347</v>
      </c>
      <c r="Y13" s="510" t="s">
        <v>25</v>
      </c>
      <c r="Z13" s="283"/>
    </row>
    <row r="14" spans="1:26" s="194" customFormat="1" ht="60" x14ac:dyDescent="0.25">
      <c r="A14" s="276" t="s">
        <v>59</v>
      </c>
      <c r="B14" s="304">
        <v>1410</v>
      </c>
      <c r="C14" s="304">
        <v>410</v>
      </c>
      <c r="D14" s="303" t="s">
        <v>60</v>
      </c>
      <c r="E14" s="365">
        <v>18.170068027210885</v>
      </c>
      <c r="F14" s="366">
        <v>28.741496598639454</v>
      </c>
      <c r="G14" s="621">
        <v>92000000</v>
      </c>
      <c r="H14" s="398">
        <v>0.53</v>
      </c>
      <c r="I14" s="399">
        <v>0.2</v>
      </c>
      <c r="J14" s="399">
        <v>0.11</v>
      </c>
      <c r="K14" s="399">
        <v>0.12</v>
      </c>
      <c r="L14" s="400">
        <v>0.04</v>
      </c>
      <c r="M14" s="398">
        <v>0.5</v>
      </c>
      <c r="N14" s="399">
        <v>0.3</v>
      </c>
      <c r="O14" s="399">
        <v>0.19999999999999998</v>
      </c>
      <c r="P14" s="399">
        <v>0</v>
      </c>
      <c r="Q14" s="400">
        <v>0</v>
      </c>
      <c r="R14" s="644">
        <f>570782.21</f>
        <v>570782.21</v>
      </c>
      <c r="S14" s="645">
        <v>76316.179999999993</v>
      </c>
      <c r="T14" s="653"/>
      <c r="U14" s="645">
        <v>101000</v>
      </c>
      <c r="V14" s="609">
        <f t="shared" si="0"/>
        <v>0.23999999999999977</v>
      </c>
      <c r="W14" s="328" t="s">
        <v>389</v>
      </c>
      <c r="X14" s="496" t="s">
        <v>390</v>
      </c>
      <c r="Y14" s="484" t="s">
        <v>377</v>
      </c>
      <c r="Z14" s="282"/>
    </row>
    <row r="15" spans="1:26" s="194" customFormat="1" ht="162.75" customHeight="1" thickBot="1" x14ac:dyDescent="0.3">
      <c r="A15" s="277" t="s">
        <v>59</v>
      </c>
      <c r="B15" s="302">
        <v>1420</v>
      </c>
      <c r="C15" s="302">
        <v>499</v>
      </c>
      <c r="D15" s="305" t="s">
        <v>63</v>
      </c>
      <c r="E15" s="367">
        <v>12</v>
      </c>
      <c r="F15" s="368">
        <v>21.323529411764707</v>
      </c>
      <c r="G15" s="623">
        <v>21500000</v>
      </c>
      <c r="H15" s="401">
        <v>0.43</v>
      </c>
      <c r="I15" s="402">
        <v>0.25</v>
      </c>
      <c r="J15" s="402">
        <v>0.13</v>
      </c>
      <c r="K15" s="402">
        <v>0.16</v>
      </c>
      <c r="L15" s="403">
        <v>0.03</v>
      </c>
      <c r="M15" s="401">
        <v>0.39999999999999997</v>
      </c>
      <c r="N15" s="402">
        <v>0.35</v>
      </c>
      <c r="O15" s="402">
        <v>0.25</v>
      </c>
      <c r="P15" s="402">
        <v>0</v>
      </c>
      <c r="Q15" s="403">
        <v>0</v>
      </c>
      <c r="R15" s="646">
        <f>1943285.81+477016.5</f>
        <v>2420302.31</v>
      </c>
      <c r="S15" s="647">
        <v>257550.4</v>
      </c>
      <c r="T15" s="654">
        <v>6395990</v>
      </c>
      <c r="U15" s="647">
        <v>262000</v>
      </c>
      <c r="V15" s="611">
        <f t="shared" si="0"/>
        <v>0.26</v>
      </c>
      <c r="W15" s="329" t="s">
        <v>391</v>
      </c>
      <c r="X15" s="480" t="s">
        <v>392</v>
      </c>
      <c r="Y15" s="474" t="s">
        <v>393</v>
      </c>
      <c r="Z15" s="283"/>
    </row>
    <row r="16" spans="1:26" s="194" customFormat="1" ht="45" x14ac:dyDescent="0.25">
      <c r="A16" s="276" t="s">
        <v>66</v>
      </c>
      <c r="B16" s="304">
        <v>1510</v>
      </c>
      <c r="C16" s="304">
        <v>510</v>
      </c>
      <c r="D16" s="303" t="s">
        <v>67</v>
      </c>
      <c r="E16" s="371">
        <v>4</v>
      </c>
      <c r="F16" s="372">
        <v>17.61904761904762</v>
      </c>
      <c r="G16" s="621">
        <v>1500000</v>
      </c>
      <c r="H16" s="398">
        <v>0.56999999999999995</v>
      </c>
      <c r="I16" s="399">
        <v>0.38</v>
      </c>
      <c r="J16" s="399">
        <v>0</v>
      </c>
      <c r="K16" s="399">
        <v>0</v>
      </c>
      <c r="L16" s="400">
        <v>0.05</v>
      </c>
      <c r="M16" s="398">
        <v>0.44999999999999996</v>
      </c>
      <c r="N16" s="399">
        <v>0.35</v>
      </c>
      <c r="O16" s="399">
        <v>9.9999999999999992E-2</v>
      </c>
      <c r="P16" s="399">
        <v>9.9999999999999992E-2</v>
      </c>
      <c r="Q16" s="400">
        <v>0</v>
      </c>
      <c r="R16" s="638">
        <v>53415</v>
      </c>
      <c r="S16" s="639">
        <v>138643.53</v>
      </c>
      <c r="T16" s="650"/>
      <c r="U16" s="639">
        <v>62000</v>
      </c>
      <c r="V16" s="609">
        <f t="shared" si="0"/>
        <v>-0.2699999999999998</v>
      </c>
      <c r="W16" s="625" t="s">
        <v>394</v>
      </c>
      <c r="X16" s="460" t="s">
        <v>351</v>
      </c>
      <c r="Y16" s="484" t="s">
        <v>393</v>
      </c>
      <c r="Z16" s="282"/>
    </row>
    <row r="17" spans="1:26" s="194" customFormat="1" ht="45.75" thickBot="1" x14ac:dyDescent="0.3">
      <c r="A17" s="277" t="s">
        <v>66</v>
      </c>
      <c r="B17" s="302">
        <v>1520</v>
      </c>
      <c r="C17" s="302">
        <v>599</v>
      </c>
      <c r="D17" s="305" t="s">
        <v>70</v>
      </c>
      <c r="E17" s="369">
        <v>1.6666666666666667</v>
      </c>
      <c r="F17" s="370">
        <v>35.925925925925924</v>
      </c>
      <c r="G17" s="623">
        <v>1500000</v>
      </c>
      <c r="H17" s="401">
        <v>0.89</v>
      </c>
      <c r="I17" s="402">
        <v>0.11</v>
      </c>
      <c r="J17" s="402">
        <v>0</v>
      </c>
      <c r="K17" s="402">
        <v>0</v>
      </c>
      <c r="L17" s="403">
        <v>0</v>
      </c>
      <c r="M17" s="404">
        <v>0.5</v>
      </c>
      <c r="N17" s="405">
        <v>0.3</v>
      </c>
      <c r="O17" s="405">
        <v>0.15</v>
      </c>
      <c r="P17" s="405">
        <v>4.9999999999999996E-2</v>
      </c>
      <c r="Q17" s="406">
        <v>0</v>
      </c>
      <c r="R17" s="642">
        <f>151871.95+58337.5</f>
        <v>210209.45</v>
      </c>
      <c r="S17" s="643">
        <v>12410.64</v>
      </c>
      <c r="T17" s="652">
        <v>2821510</v>
      </c>
      <c r="U17" s="643">
        <v>62000</v>
      </c>
      <c r="V17" s="611">
        <f t="shared" si="0"/>
        <v>-0.6399999999999999</v>
      </c>
      <c r="W17" s="626" t="s">
        <v>395</v>
      </c>
      <c r="X17" s="461" t="s">
        <v>353</v>
      </c>
      <c r="Y17" s="474" t="s">
        <v>25</v>
      </c>
      <c r="Z17" s="356"/>
    </row>
    <row r="18" spans="1:26" s="194" customFormat="1" ht="50.25" customHeight="1" x14ac:dyDescent="0.25">
      <c r="A18" s="276" t="s">
        <v>72</v>
      </c>
      <c r="B18" s="304">
        <v>1610</v>
      </c>
      <c r="C18" s="304">
        <v>610</v>
      </c>
      <c r="D18" s="303" t="s">
        <v>73</v>
      </c>
      <c r="E18" s="365">
        <v>11.193548387096774</v>
      </c>
      <c r="F18" s="366">
        <v>24.112903225806452</v>
      </c>
      <c r="G18" s="621">
        <v>40000000</v>
      </c>
      <c r="H18" s="394">
        <v>0.19</v>
      </c>
      <c r="I18" s="395">
        <v>0.23</v>
      </c>
      <c r="J18" s="395">
        <v>0.03</v>
      </c>
      <c r="K18" s="395">
        <v>0.52</v>
      </c>
      <c r="L18" s="396">
        <v>0.03</v>
      </c>
      <c r="M18" s="398">
        <v>0.5</v>
      </c>
      <c r="N18" s="399">
        <v>0.3</v>
      </c>
      <c r="O18" s="399">
        <v>0.15</v>
      </c>
      <c r="P18" s="399">
        <v>4.9999999999999996E-2</v>
      </c>
      <c r="Q18" s="400">
        <v>0</v>
      </c>
      <c r="R18" s="644">
        <f>1221828.37+2400</f>
        <v>1224228.3700000001</v>
      </c>
      <c r="S18" s="645">
        <v>56914.93</v>
      </c>
      <c r="T18" s="653"/>
      <c r="U18" s="645">
        <v>59000</v>
      </c>
      <c r="V18" s="609">
        <f t="shared" si="0"/>
        <v>1.2200000000000002</v>
      </c>
      <c r="W18" s="324" t="s">
        <v>396</v>
      </c>
      <c r="X18" s="462" t="s">
        <v>397</v>
      </c>
      <c r="Y18" s="484" t="s">
        <v>377</v>
      </c>
      <c r="Z18" s="282"/>
    </row>
    <row r="19" spans="1:26" s="194" customFormat="1" ht="81.75" customHeight="1" thickBot="1" x14ac:dyDescent="0.3">
      <c r="A19" s="277" t="s">
        <v>72</v>
      </c>
      <c r="B19" s="302">
        <v>1620</v>
      </c>
      <c r="C19" s="302">
        <v>699</v>
      </c>
      <c r="D19" s="305" t="s">
        <v>76</v>
      </c>
      <c r="E19" s="367">
        <v>30.470588235294116</v>
      </c>
      <c r="F19" s="368">
        <v>65.588235294117652</v>
      </c>
      <c r="G19" s="623">
        <v>10000000</v>
      </c>
      <c r="H19" s="394">
        <v>0.14000000000000001</v>
      </c>
      <c r="I19" s="395">
        <v>0.79</v>
      </c>
      <c r="J19" s="395">
        <v>0</v>
      </c>
      <c r="K19" s="395">
        <v>7.0000000000000007E-2</v>
      </c>
      <c r="L19" s="396">
        <v>0</v>
      </c>
      <c r="M19" s="404">
        <v>0.5</v>
      </c>
      <c r="N19" s="405">
        <v>0.3</v>
      </c>
      <c r="O19" s="405">
        <v>0.15</v>
      </c>
      <c r="P19" s="405">
        <v>4.9999999999999996E-2</v>
      </c>
      <c r="Q19" s="406">
        <v>0</v>
      </c>
      <c r="R19" s="646">
        <f>1157592.3+282595.5+44422.98</f>
        <v>1484610.78</v>
      </c>
      <c r="S19" s="647">
        <v>240395.48</v>
      </c>
      <c r="T19" s="654">
        <v>8302800</v>
      </c>
      <c r="U19" s="647">
        <v>437000</v>
      </c>
      <c r="V19" s="611">
        <f t="shared" si="0"/>
        <v>0.25</v>
      </c>
      <c r="W19" s="633" t="s">
        <v>398</v>
      </c>
      <c r="X19" s="467" t="s">
        <v>399</v>
      </c>
      <c r="Y19" s="474" t="s">
        <v>25</v>
      </c>
      <c r="Z19" s="356"/>
    </row>
    <row r="20" spans="1:26" s="194" customFormat="1" ht="75.75" customHeight="1" thickBot="1" x14ac:dyDescent="0.3">
      <c r="A20" s="276" t="s">
        <v>79</v>
      </c>
      <c r="B20" s="304">
        <v>1710</v>
      </c>
      <c r="C20" s="304">
        <v>710</v>
      </c>
      <c r="D20" s="303" t="s">
        <v>80</v>
      </c>
      <c r="E20" s="365">
        <v>53.588235294117645</v>
      </c>
      <c r="F20" s="366">
        <v>40.882352941176471</v>
      </c>
      <c r="G20" s="621">
        <v>7700000</v>
      </c>
      <c r="H20" s="398">
        <v>0.11</v>
      </c>
      <c r="I20" s="399">
        <v>0.06</v>
      </c>
      <c r="J20" s="399">
        <v>0.24</v>
      </c>
      <c r="K20" s="399">
        <v>0.53</v>
      </c>
      <c r="L20" s="400">
        <v>0.06</v>
      </c>
      <c r="M20" s="398">
        <v>0.5</v>
      </c>
      <c r="N20" s="399">
        <v>0.3</v>
      </c>
      <c r="O20" s="399">
        <v>0.15</v>
      </c>
      <c r="P20" s="399">
        <v>4.9999999999999996E-2</v>
      </c>
      <c r="Q20" s="400">
        <v>0</v>
      </c>
      <c r="R20" s="638">
        <f>132165+12080</f>
        <v>144245</v>
      </c>
      <c r="S20" s="639">
        <v>8605.26</v>
      </c>
      <c r="T20" s="650"/>
      <c r="U20" s="639"/>
      <c r="V20" s="632">
        <f t="shared" si="0"/>
        <v>1.62</v>
      </c>
      <c r="W20" s="330" t="s">
        <v>400</v>
      </c>
      <c r="X20" s="507" t="s">
        <v>29</v>
      </c>
      <c r="Y20" s="484" t="s">
        <v>393</v>
      </c>
      <c r="Z20" s="634" t="s">
        <v>401</v>
      </c>
    </row>
    <row r="21" spans="1:26" s="194" customFormat="1" ht="78.75" customHeight="1" thickBot="1" x14ac:dyDescent="0.3">
      <c r="A21" s="661" t="s">
        <v>79</v>
      </c>
      <c r="B21" s="662">
        <v>1720</v>
      </c>
      <c r="C21" s="662">
        <v>799</v>
      </c>
      <c r="D21" s="663" t="s">
        <v>83</v>
      </c>
      <c r="E21" s="664">
        <v>9.1111111111111107</v>
      </c>
      <c r="F21" s="665">
        <v>14.074074074074074</v>
      </c>
      <c r="G21" s="617">
        <v>2720000</v>
      </c>
      <c r="H21" s="666">
        <v>0.04</v>
      </c>
      <c r="I21" s="667">
        <v>0.59</v>
      </c>
      <c r="J21" s="667">
        <v>0.15</v>
      </c>
      <c r="K21" s="667">
        <v>0.22</v>
      </c>
      <c r="L21" s="668">
        <v>0</v>
      </c>
      <c r="M21" s="669">
        <v>0.5</v>
      </c>
      <c r="N21" s="670">
        <v>0.3</v>
      </c>
      <c r="O21" s="670">
        <v>0.15</v>
      </c>
      <c r="P21" s="670">
        <v>4.9999999999999996E-2</v>
      </c>
      <c r="Q21" s="671">
        <v>0</v>
      </c>
      <c r="R21" s="646"/>
      <c r="S21" s="647">
        <v>89941.06</v>
      </c>
      <c r="T21" s="654">
        <v>6937000</v>
      </c>
      <c r="U21" s="647">
        <v>18000</v>
      </c>
      <c r="V21" s="672">
        <f t="shared" si="0"/>
        <v>0.79999999999999982</v>
      </c>
      <c r="W21" s="326" t="s">
        <v>402</v>
      </c>
      <c r="X21" s="657" t="s">
        <v>29</v>
      </c>
      <c r="Y21" s="483" t="s">
        <v>25</v>
      </c>
      <c r="Z21" s="634"/>
    </row>
    <row r="22" spans="1:26" s="194" customFormat="1" ht="60.75" thickBot="1" x14ac:dyDescent="0.3">
      <c r="A22" s="612" t="s">
        <v>86</v>
      </c>
      <c r="B22" s="294">
        <v>1810</v>
      </c>
      <c r="C22" s="294">
        <v>899</v>
      </c>
      <c r="D22" s="613" t="s">
        <v>87</v>
      </c>
      <c r="E22" s="673">
        <v>4.8</v>
      </c>
      <c r="F22" s="674">
        <v>10</v>
      </c>
      <c r="G22" s="675">
        <v>2100000</v>
      </c>
      <c r="H22" s="407">
        <v>0.27</v>
      </c>
      <c r="I22" s="408">
        <v>0.73</v>
      </c>
      <c r="J22" s="408">
        <v>0</v>
      </c>
      <c r="K22" s="408">
        <v>0</v>
      </c>
      <c r="L22" s="409">
        <v>0</v>
      </c>
      <c r="M22" s="407">
        <v>0.5</v>
      </c>
      <c r="N22" s="408">
        <v>0.3</v>
      </c>
      <c r="O22" s="408">
        <v>0.19999999999999998</v>
      </c>
      <c r="P22" s="408">
        <v>0</v>
      </c>
      <c r="Q22" s="409">
        <v>0</v>
      </c>
      <c r="R22" s="676">
        <f>-10222.83+40043.5-0.01+35628.37</f>
        <v>65449.03</v>
      </c>
      <c r="S22" s="677">
        <v>473072.99</v>
      </c>
      <c r="T22" s="678">
        <v>528350</v>
      </c>
      <c r="U22" s="679">
        <f>456000+84000+364000</f>
        <v>904000</v>
      </c>
      <c r="V22" s="680">
        <f t="shared" si="0"/>
        <v>2.9999999999999805E-2</v>
      </c>
      <c r="W22" s="681" t="s">
        <v>403</v>
      </c>
      <c r="X22" s="593"/>
      <c r="Y22" s="594" t="s">
        <v>25</v>
      </c>
      <c r="Z22" s="634"/>
    </row>
    <row r="23" spans="1:26" s="262" customFormat="1" ht="36" customHeight="1" thickBot="1" x14ac:dyDescent="0.3">
      <c r="A23" s="261"/>
      <c r="B23" s="261"/>
      <c r="C23" s="261"/>
      <c r="D23" s="261"/>
      <c r="G23" s="624">
        <f>SUM(G3:G22)</f>
        <v>496613134</v>
      </c>
      <c r="H23" s="970">
        <f>SUM(H3:L22)</f>
        <v>19.999999999999989</v>
      </c>
      <c r="I23" s="971"/>
      <c r="J23" s="971"/>
      <c r="K23" s="971"/>
      <c r="L23" s="972"/>
      <c r="M23" s="970">
        <f>SUM(M3:Q22)</f>
        <v>20</v>
      </c>
      <c r="N23" s="971"/>
      <c r="O23" s="971"/>
      <c r="P23" s="971"/>
      <c r="Q23" s="972"/>
      <c r="R23" s="648">
        <f>SUM(R3:R22)</f>
        <v>11616164.099999998</v>
      </c>
      <c r="S23" s="635">
        <f>SUM(S3:S22)</f>
        <v>4716631.1500000004</v>
      </c>
      <c r="T23" s="655">
        <f>SUM(T3:T22)</f>
        <v>39753000</v>
      </c>
      <c r="U23" s="656">
        <f>SUM(U3:U22)</f>
        <v>5324000</v>
      </c>
      <c r="V23" s="601"/>
    </row>
    <row r="24" spans="1:26" ht="15.75" thickBot="1" x14ac:dyDescent="0.3">
      <c r="A24" s="2"/>
      <c r="B24" s="2"/>
      <c r="C24" s="2"/>
      <c r="D24" s="2"/>
      <c r="R24" s="578"/>
      <c r="S24" s="576"/>
    </row>
    <row r="25" spans="1:26" ht="30" customHeight="1" thickBot="1" x14ac:dyDescent="0.3">
      <c r="A25" s="2"/>
      <c r="B25" s="2"/>
      <c r="C25" s="2"/>
      <c r="D25" s="2"/>
      <c r="E25" s="985" t="s">
        <v>88</v>
      </c>
      <c r="F25" s="986"/>
      <c r="G25" s="986"/>
      <c r="H25" s="986"/>
      <c r="I25" s="986"/>
      <c r="J25" s="986"/>
      <c r="K25" s="986"/>
      <c r="L25" s="987"/>
      <c r="M25" s="534"/>
      <c r="N25" s="534"/>
      <c r="O25" s="535"/>
      <c r="Q25" s="535"/>
      <c r="R25" s="616"/>
      <c r="S25" s="542"/>
      <c r="T25" s="542"/>
      <c r="U25" s="542"/>
      <c r="V25" s="600"/>
      <c r="W25" s="600"/>
    </row>
    <row r="26" spans="1:26" ht="15.75" thickBot="1" x14ac:dyDescent="0.3">
      <c r="A26" s="2"/>
      <c r="B26" s="2"/>
      <c r="C26" s="2"/>
      <c r="D26" s="2"/>
      <c r="E26" s="425"/>
      <c r="F26" s="426"/>
      <c r="G26" s="426"/>
      <c r="H26" s="426"/>
      <c r="I26" s="426"/>
      <c r="J26" s="426"/>
      <c r="K26" s="426"/>
      <c r="L26" s="427"/>
    </row>
    <row r="27" spans="1:26" ht="15.75" thickBot="1" x14ac:dyDescent="0.3">
      <c r="A27" s="2"/>
      <c r="B27" s="2"/>
      <c r="C27" s="2"/>
      <c r="D27" s="2"/>
      <c r="E27" s="423"/>
      <c r="F27" s="410"/>
      <c r="G27" s="521" t="s">
        <v>404</v>
      </c>
      <c r="H27" s="421"/>
      <c r="I27" s="421"/>
      <c r="J27" s="421"/>
      <c r="K27" s="421"/>
      <c r="L27" s="422"/>
    </row>
    <row r="28" spans="1:26" ht="15.75" thickBot="1" x14ac:dyDescent="0.3">
      <c r="A28" s="2"/>
      <c r="B28" s="2"/>
      <c r="C28" s="2"/>
      <c r="D28" s="429"/>
      <c r="E28" s="423"/>
      <c r="F28" s="421"/>
      <c r="G28" s="522"/>
      <c r="H28" s="421"/>
      <c r="I28" s="421"/>
      <c r="J28" s="421"/>
      <c r="K28" s="421"/>
      <c r="L28" s="422"/>
    </row>
    <row r="29" spans="1:26" ht="15.75" thickBot="1" x14ac:dyDescent="0.3">
      <c r="A29" s="2"/>
      <c r="B29" s="2"/>
      <c r="C29" s="2"/>
      <c r="D29" s="429"/>
      <c r="E29" s="423"/>
      <c r="F29" s="134"/>
      <c r="G29" s="523" t="s">
        <v>90</v>
      </c>
      <c r="H29" s="421"/>
      <c r="I29" s="421"/>
      <c r="J29" s="421"/>
      <c r="K29" s="421"/>
      <c r="L29" s="422"/>
    </row>
    <row r="30" spans="1:26" ht="15.75" thickBot="1" x14ac:dyDescent="0.3">
      <c r="A30" s="2"/>
      <c r="B30" s="2"/>
      <c r="C30" s="2"/>
      <c r="D30" s="429"/>
      <c r="E30" s="423"/>
      <c r="F30" s="421"/>
      <c r="G30" s="522"/>
      <c r="H30" s="421"/>
      <c r="I30" s="421"/>
      <c r="J30" s="421"/>
      <c r="K30" s="421"/>
      <c r="L30" s="422"/>
    </row>
    <row r="31" spans="1:26" ht="15.75" thickBot="1" x14ac:dyDescent="0.3">
      <c r="A31" s="2"/>
      <c r="B31" s="2"/>
      <c r="C31" s="2"/>
      <c r="D31" s="429"/>
      <c r="E31" s="423"/>
      <c r="F31" s="135"/>
      <c r="G31" s="523" t="s">
        <v>91</v>
      </c>
      <c r="H31" s="421"/>
      <c r="I31" s="421"/>
      <c r="J31" s="421"/>
      <c r="K31" s="421"/>
      <c r="L31" s="422"/>
    </row>
    <row r="32" spans="1:26" ht="15.75" thickBot="1" x14ac:dyDescent="0.3">
      <c r="A32" s="2"/>
      <c r="B32" s="2"/>
      <c r="C32" s="2"/>
      <c r="D32" s="2"/>
      <c r="E32" s="423"/>
      <c r="F32" s="421"/>
      <c r="G32" s="522"/>
      <c r="H32" s="421"/>
      <c r="I32" s="421"/>
      <c r="J32" s="421"/>
      <c r="K32" s="421"/>
      <c r="L32" s="422"/>
    </row>
    <row r="33" spans="1:12" ht="15.75" thickBot="1" x14ac:dyDescent="0.3">
      <c r="A33" s="2"/>
      <c r="B33" s="2"/>
      <c r="C33" s="2"/>
      <c r="D33" s="2"/>
      <c r="E33" s="423"/>
      <c r="F33" s="519"/>
      <c r="G33" s="520" t="s">
        <v>92</v>
      </c>
      <c r="H33" s="421"/>
      <c r="I33" s="421"/>
      <c r="J33" s="421"/>
      <c r="K33" s="421"/>
      <c r="L33" s="422"/>
    </row>
    <row r="34" spans="1:12" ht="15.75" thickBot="1" x14ac:dyDescent="0.3">
      <c r="A34" s="2"/>
      <c r="B34" s="2"/>
      <c r="C34" s="2"/>
      <c r="D34" s="2"/>
      <c r="E34" s="423"/>
      <c r="F34" s="418"/>
      <c r="G34" s="522"/>
      <c r="H34" s="421"/>
      <c r="I34" s="421"/>
      <c r="J34" s="421"/>
      <c r="K34" s="421"/>
      <c r="L34" s="422"/>
    </row>
    <row r="35" spans="1:12" ht="15.75" thickBot="1" x14ac:dyDescent="0.3">
      <c r="E35" s="423"/>
      <c r="F35" s="494"/>
      <c r="G35" s="523" t="s">
        <v>364</v>
      </c>
      <c r="H35" s="421"/>
      <c r="I35" s="421"/>
      <c r="J35" s="421"/>
      <c r="K35" s="421"/>
      <c r="L35" s="422"/>
    </row>
    <row r="36" spans="1:12" ht="15.75" thickBot="1" x14ac:dyDescent="0.3">
      <c r="E36" s="417"/>
      <c r="F36" s="418"/>
      <c r="G36" s="418"/>
      <c r="H36" s="418"/>
      <c r="I36" s="418"/>
      <c r="J36" s="418"/>
      <c r="K36" s="418"/>
      <c r="L36" s="419"/>
    </row>
  </sheetData>
  <autoFilter ref="A2:Z23" xr:uid="{160FBF7B-6231-4429-9EDF-11C15AD87E6F}"/>
  <mergeCells count="14">
    <mergeCell ref="H23:L23"/>
    <mergeCell ref="M23:Q23"/>
    <mergeCell ref="E25:L25"/>
    <mergeCell ref="R1:S1"/>
    <mergeCell ref="T1:U1"/>
    <mergeCell ref="V1:V2"/>
    <mergeCell ref="W1:Y1"/>
    <mergeCell ref="Z1:Z2"/>
    <mergeCell ref="A1:D1"/>
    <mergeCell ref="E1:E2"/>
    <mergeCell ref="F1:F2"/>
    <mergeCell ref="G1:G2"/>
    <mergeCell ref="H1:L1"/>
    <mergeCell ref="M1:Q1"/>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A807F-C3FB-4A25-BEF3-21A0C99FEFBB}">
  <sheetPr codeName="Feuil5">
    <tabColor rgb="FFFF0000"/>
  </sheetPr>
  <dimension ref="A1:BW36"/>
  <sheetViews>
    <sheetView topLeftCell="AH2" zoomScale="60" zoomScaleNormal="60" zoomScaleSheetLayoutView="70" workbookViewId="0">
      <selection activeCell="BU22" sqref="BU22"/>
    </sheetView>
  </sheetViews>
  <sheetFormatPr baseColWidth="10" defaultColWidth="11.42578125" defaultRowHeight="15" outlineLevelCol="1" x14ac:dyDescent="0.25"/>
  <cols>
    <col min="1" max="1" width="27.85546875" style="1" customWidth="1"/>
    <col min="2" max="2" width="12.140625" style="1" customWidth="1"/>
    <col min="3" max="3" width="10.42578125" style="1" bestFit="1" customWidth="1"/>
    <col min="4" max="4" width="30.5703125" style="1" customWidth="1"/>
    <col min="5" max="5" width="8" style="1" bestFit="1" customWidth="1"/>
    <col min="6" max="6" width="10" style="1" customWidth="1"/>
    <col min="7" max="7" width="21.5703125" style="1" bestFit="1" customWidth="1"/>
    <col min="8" max="17" width="6.85546875" style="1" bestFit="1" customWidth="1"/>
    <col min="18" max="18" width="24.5703125" style="549" bestFit="1" customWidth="1"/>
    <col min="19" max="19" width="29.7109375" style="556" bestFit="1" customWidth="1"/>
    <col min="20" max="20" width="19" style="1" customWidth="1"/>
    <col min="21" max="28" width="17.5703125" style="1" hidden="1" customWidth="1" outlineLevel="1"/>
    <col min="29" max="29" width="19" style="1" hidden="1" customWidth="1" outlineLevel="1"/>
    <col min="30" max="33" width="17.5703125" style="1" hidden="1" customWidth="1" outlineLevel="1"/>
    <col min="34" max="34" width="18.85546875" style="194" bestFit="1" customWidth="1" collapsed="1"/>
    <col min="35" max="35" width="26.42578125" style="194" bestFit="1" customWidth="1"/>
    <col min="36" max="36" width="23" style="194" bestFit="1" customWidth="1"/>
    <col min="37" max="37" width="17.5703125" style="1" bestFit="1" customWidth="1"/>
    <col min="38" max="44" width="17.5703125" style="1" hidden="1" customWidth="1" outlineLevel="1"/>
    <col min="45" max="45" width="19" style="194" bestFit="1" customWidth="1" collapsed="1"/>
    <col min="46" max="46" width="23.5703125" style="194" bestFit="1" customWidth="1"/>
    <col min="47" max="47" width="19" style="1" customWidth="1"/>
    <col min="48" max="53" width="17.5703125" style="1" hidden="1" customWidth="1" outlineLevel="1"/>
    <col min="54" max="54" width="20.85546875" style="1" hidden="1" customWidth="1" outlineLevel="1"/>
    <col min="55" max="55" width="20.7109375" style="1" hidden="1" customWidth="1" outlineLevel="1"/>
    <col min="56" max="57" width="17.5703125" style="1" hidden="1" customWidth="1" outlineLevel="1"/>
    <col min="58" max="58" width="20.7109375" style="1" hidden="1" customWidth="1" outlineLevel="1"/>
    <col min="59" max="59" width="19" style="1" hidden="1" customWidth="1" outlineLevel="1"/>
    <col min="60" max="60" width="19.42578125" style="194" bestFit="1" customWidth="1" collapsed="1"/>
    <col min="61" max="61" width="16.5703125" style="194" bestFit="1" customWidth="1"/>
    <col min="62" max="62" width="23.5703125" style="574" bestFit="1" customWidth="1"/>
    <col min="63" max="63" width="17.5703125" style="1" bestFit="1" customWidth="1"/>
    <col min="64" max="70" width="17.5703125" style="1" hidden="1" customWidth="1" outlineLevel="1"/>
    <col min="71" max="71" width="16.28515625" style="1" bestFit="1" customWidth="1" collapsed="1"/>
    <col min="72" max="72" width="63.28515625" style="1" customWidth="1"/>
    <col min="73" max="73" width="56.140625" style="1" customWidth="1"/>
    <col min="74" max="74" width="56.85546875" style="1" bestFit="1" customWidth="1"/>
    <col min="75" max="75" width="106.42578125" style="1" customWidth="1"/>
    <col min="76" max="16384" width="11.42578125" style="1"/>
  </cols>
  <sheetData>
    <row r="1" spans="1:75" ht="54.95" customHeight="1" thickBot="1" x14ac:dyDescent="0.3">
      <c r="A1" s="1007" t="s">
        <v>405</v>
      </c>
      <c r="B1" s="1008"/>
      <c r="C1" s="1008"/>
      <c r="D1" s="1009"/>
      <c r="E1" s="976" t="s">
        <v>0</v>
      </c>
      <c r="F1" s="978" t="s">
        <v>1</v>
      </c>
      <c r="G1" s="980" t="s">
        <v>2</v>
      </c>
      <c r="H1" s="1010" t="s">
        <v>3</v>
      </c>
      <c r="I1" s="1011"/>
      <c r="J1" s="1011"/>
      <c r="K1" s="1011"/>
      <c r="L1" s="1012"/>
      <c r="M1" s="1010" t="s">
        <v>4</v>
      </c>
      <c r="N1" s="1011"/>
      <c r="O1" s="1011"/>
      <c r="P1" s="1011"/>
      <c r="Q1" s="1012"/>
      <c r="R1" s="992" t="s">
        <v>406</v>
      </c>
      <c r="S1" s="993"/>
      <c r="T1" s="993"/>
      <c r="U1" s="993"/>
      <c r="V1" s="993"/>
      <c r="W1" s="993"/>
      <c r="X1" s="993"/>
      <c r="Y1" s="993"/>
      <c r="Z1" s="993"/>
      <c r="AA1" s="993"/>
      <c r="AB1" s="993"/>
      <c r="AC1" s="993"/>
      <c r="AD1" s="993"/>
      <c r="AE1" s="993"/>
      <c r="AF1" s="993"/>
      <c r="AG1" s="993"/>
      <c r="AH1" s="993"/>
      <c r="AI1" s="993"/>
      <c r="AJ1" s="993"/>
      <c r="AK1" s="993"/>
      <c r="AL1" s="993"/>
      <c r="AM1" s="993"/>
      <c r="AN1" s="993"/>
      <c r="AO1" s="993"/>
      <c r="AP1" s="993"/>
      <c r="AQ1" s="993"/>
      <c r="AR1" s="1013"/>
      <c r="AS1" s="992" t="s">
        <v>407</v>
      </c>
      <c r="AT1" s="993"/>
      <c r="AU1" s="993"/>
      <c r="AV1" s="993"/>
      <c r="AW1" s="993"/>
      <c r="AX1" s="993"/>
      <c r="AY1" s="993"/>
      <c r="AZ1" s="993"/>
      <c r="BA1" s="993"/>
      <c r="BB1" s="993"/>
      <c r="BC1" s="993"/>
      <c r="BD1" s="993"/>
      <c r="BE1" s="993"/>
      <c r="BF1" s="993"/>
      <c r="BG1" s="993"/>
      <c r="BH1" s="993"/>
      <c r="BI1" s="993"/>
      <c r="BJ1" s="993"/>
      <c r="BK1" s="993"/>
      <c r="BL1" s="993"/>
      <c r="BM1" s="993"/>
      <c r="BN1" s="993"/>
      <c r="BO1" s="993"/>
      <c r="BP1" s="993"/>
      <c r="BQ1" s="993"/>
      <c r="BR1" s="993"/>
      <c r="BS1" s="990" t="s">
        <v>5</v>
      </c>
      <c r="BT1" s="992" t="s">
        <v>408</v>
      </c>
      <c r="BU1" s="993"/>
      <c r="BV1" s="993"/>
      <c r="BW1" s="968" t="s">
        <v>6</v>
      </c>
    </row>
    <row r="2" spans="1:75" s="3" customFormat="1" ht="83.25" customHeight="1" thickBot="1" x14ac:dyDescent="0.4">
      <c r="A2" s="12" t="s">
        <v>291</v>
      </c>
      <c r="B2" s="293" t="s">
        <v>8</v>
      </c>
      <c r="C2" s="293" t="s">
        <v>9</v>
      </c>
      <c r="D2" s="310" t="s">
        <v>10</v>
      </c>
      <c r="E2" s="977"/>
      <c r="F2" s="979"/>
      <c r="G2" s="981"/>
      <c r="H2" s="268" t="s">
        <v>11</v>
      </c>
      <c r="I2" s="269" t="s">
        <v>12</v>
      </c>
      <c r="J2" s="269" t="s">
        <v>13</v>
      </c>
      <c r="K2" s="269" t="s">
        <v>14</v>
      </c>
      <c r="L2" s="270" t="s">
        <v>15</v>
      </c>
      <c r="M2" s="268" t="s">
        <v>11</v>
      </c>
      <c r="N2" s="269" t="s">
        <v>12</v>
      </c>
      <c r="O2" s="269" t="s">
        <v>13</v>
      </c>
      <c r="P2" s="269" t="s">
        <v>14</v>
      </c>
      <c r="Q2" s="270" t="s">
        <v>15</v>
      </c>
      <c r="R2" s="557" t="s">
        <v>409</v>
      </c>
      <c r="S2" s="545" t="s">
        <v>410</v>
      </c>
      <c r="T2" s="536" t="s">
        <v>411</v>
      </c>
      <c r="U2" s="271" t="s">
        <v>412</v>
      </c>
      <c r="V2" s="271" t="s">
        <v>413</v>
      </c>
      <c r="W2" s="271" t="s">
        <v>414</v>
      </c>
      <c r="X2" s="271" t="s">
        <v>415</v>
      </c>
      <c r="Y2" s="271" t="s">
        <v>416</v>
      </c>
      <c r="Z2" s="271" t="s">
        <v>417</v>
      </c>
      <c r="AA2" s="271" t="s">
        <v>418</v>
      </c>
      <c r="AB2" s="271" t="s">
        <v>419</v>
      </c>
      <c r="AC2" s="271" t="s">
        <v>420</v>
      </c>
      <c r="AD2" s="271" t="s">
        <v>421</v>
      </c>
      <c r="AE2" s="271" t="s">
        <v>422</v>
      </c>
      <c r="AF2" s="271" t="s">
        <v>423</v>
      </c>
      <c r="AG2" s="271" t="s">
        <v>424</v>
      </c>
      <c r="AH2" s="1014" t="s">
        <v>425</v>
      </c>
      <c r="AI2" s="1015"/>
      <c r="AJ2" s="561" t="s">
        <v>426</v>
      </c>
      <c r="AK2" s="536" t="s">
        <v>427</v>
      </c>
      <c r="AL2" s="271" t="s">
        <v>412</v>
      </c>
      <c r="AM2" s="415" t="s">
        <v>428</v>
      </c>
      <c r="AN2" s="271" t="s">
        <v>416</v>
      </c>
      <c r="AO2" s="271" t="s">
        <v>415</v>
      </c>
      <c r="AP2" s="271" t="s">
        <v>429</v>
      </c>
      <c r="AQ2" s="271" t="s">
        <v>430</v>
      </c>
      <c r="AR2" s="271" t="s">
        <v>413</v>
      </c>
      <c r="AS2" s="558" t="s">
        <v>409</v>
      </c>
      <c r="AT2" s="545" t="s">
        <v>410</v>
      </c>
      <c r="AU2" s="536" t="s">
        <v>431</v>
      </c>
      <c r="AV2" s="271" t="s">
        <v>412</v>
      </c>
      <c r="AW2" s="271" t="s">
        <v>414</v>
      </c>
      <c r="AX2" s="271" t="s">
        <v>415</v>
      </c>
      <c r="AY2" s="271" t="s">
        <v>416</v>
      </c>
      <c r="AZ2" s="271" t="s">
        <v>417</v>
      </c>
      <c r="BA2" s="271" t="s">
        <v>418</v>
      </c>
      <c r="BB2" s="271" t="s">
        <v>420</v>
      </c>
      <c r="BC2" s="271" t="s">
        <v>421</v>
      </c>
      <c r="BD2" s="271" t="s">
        <v>422</v>
      </c>
      <c r="BE2" s="271" t="s">
        <v>432</v>
      </c>
      <c r="BF2" s="271" t="s">
        <v>423</v>
      </c>
      <c r="BG2" s="271" t="s">
        <v>424</v>
      </c>
      <c r="BH2" s="1014" t="s">
        <v>433</v>
      </c>
      <c r="BI2" s="1015"/>
      <c r="BJ2" s="561" t="s">
        <v>426</v>
      </c>
      <c r="BK2" s="272" t="s">
        <v>17</v>
      </c>
      <c r="BL2" s="271" t="s">
        <v>412</v>
      </c>
      <c r="BM2" s="415" t="s">
        <v>428</v>
      </c>
      <c r="BN2" s="271" t="s">
        <v>416</v>
      </c>
      <c r="BO2" s="271" t="s">
        <v>415</v>
      </c>
      <c r="BP2" s="271" t="s">
        <v>429</v>
      </c>
      <c r="BQ2" s="271" t="s">
        <v>430</v>
      </c>
      <c r="BR2" s="271" t="s">
        <v>413</v>
      </c>
      <c r="BS2" s="991"/>
      <c r="BT2" s="273" t="s">
        <v>18</v>
      </c>
      <c r="BU2" s="455" t="s">
        <v>19</v>
      </c>
      <c r="BV2" s="476" t="s">
        <v>20</v>
      </c>
      <c r="BW2" s="969"/>
    </row>
    <row r="3" spans="1:75" s="194" customFormat="1" ht="45.75" thickBot="1" x14ac:dyDescent="0.3">
      <c r="A3" s="185" t="s">
        <v>21</v>
      </c>
      <c r="B3" s="294" t="s">
        <v>22</v>
      </c>
      <c r="C3" s="295">
        <v>99</v>
      </c>
      <c r="D3" s="296" t="s">
        <v>23</v>
      </c>
      <c r="E3" s="361">
        <v>47.89</v>
      </c>
      <c r="F3" s="362">
        <v>73.33</v>
      </c>
      <c r="G3" s="486">
        <v>40900000</v>
      </c>
      <c r="H3" s="375">
        <v>0.12</v>
      </c>
      <c r="I3" s="376">
        <v>0.44</v>
      </c>
      <c r="J3" s="376">
        <v>0.11</v>
      </c>
      <c r="K3" s="376">
        <v>0.33</v>
      </c>
      <c r="L3" s="377">
        <v>0</v>
      </c>
      <c r="M3" s="375">
        <v>0.44999999999999996</v>
      </c>
      <c r="N3" s="376">
        <v>0.35</v>
      </c>
      <c r="O3" s="376">
        <v>9.9999999999999992E-2</v>
      </c>
      <c r="P3" s="376">
        <v>9.9999999999999992E-2</v>
      </c>
      <c r="Q3" s="377">
        <v>0</v>
      </c>
      <c r="R3" s="579">
        <f>733880.26+53408.47</f>
        <v>787288.73</v>
      </c>
      <c r="S3" s="580">
        <f>R3</f>
        <v>787288.73</v>
      </c>
      <c r="T3" s="306">
        <f t="shared" ref="T3:T22" si="0">SUM(U3:AG3)</f>
        <v>715506.3</v>
      </c>
      <c r="U3" s="313"/>
      <c r="V3" s="313"/>
      <c r="W3" s="313"/>
      <c r="X3" s="313"/>
      <c r="Y3" s="313"/>
      <c r="Z3" s="313"/>
      <c r="AA3" s="313"/>
      <c r="AB3" s="313"/>
      <c r="AC3" s="313">
        <f>191.27+53909+2454+488194+29519+24095</f>
        <v>598362.27</v>
      </c>
      <c r="AD3" s="313">
        <v>20144.03</v>
      </c>
      <c r="AE3" s="313">
        <v>97000</v>
      </c>
      <c r="AF3" s="313"/>
      <c r="AG3" s="433"/>
      <c r="AH3" s="538">
        <v>173322</v>
      </c>
      <c r="AI3" s="544">
        <f t="shared" ref="AI3:AI22" si="1">AI$23*(AK3/AK$23)</f>
        <v>171973.16605625206</v>
      </c>
      <c r="AJ3" s="562">
        <f>AH3+AI3</f>
        <v>345295.16605625208</v>
      </c>
      <c r="AK3" s="306">
        <f>SUM(AL3:AR3)</f>
        <v>238000</v>
      </c>
      <c r="AL3" s="335"/>
      <c r="AM3" s="335"/>
      <c r="AN3" s="335"/>
      <c r="AO3" s="335"/>
      <c r="AP3" s="335"/>
      <c r="AQ3" s="337"/>
      <c r="AR3" s="190">
        <v>238000</v>
      </c>
      <c r="AS3" s="538">
        <v>258550</v>
      </c>
      <c r="AT3" s="550">
        <f>AS3</f>
        <v>258550</v>
      </c>
      <c r="AU3" s="306">
        <f t="shared" ref="AU3:AU22" si="2">SUM(AV3:BG3)</f>
        <v>500000</v>
      </c>
      <c r="AV3" s="313"/>
      <c r="AW3" s="313"/>
      <c r="AX3" s="313"/>
      <c r="AY3" s="313"/>
      <c r="AZ3" s="313">
        <v>100000</v>
      </c>
      <c r="BA3" s="313"/>
      <c r="BB3" s="313">
        <v>200000</v>
      </c>
      <c r="BC3" s="313">
        <v>50000</v>
      </c>
      <c r="BD3" s="313">
        <v>150000</v>
      </c>
      <c r="BE3" s="313"/>
      <c r="BF3" s="313"/>
      <c r="BG3" s="433"/>
      <c r="BH3" s="538">
        <f>BK3</f>
        <v>252000</v>
      </c>
      <c r="BI3" s="544">
        <f t="shared" ref="BI3:BI22" si="3">BI$23*(BK3/BK$23)</f>
        <v>187416.33199464524</v>
      </c>
      <c r="BJ3" s="562">
        <f>BH3+BI3</f>
        <v>439416.33199464524</v>
      </c>
      <c r="BK3" s="351">
        <f>SUM(BL3:BR3)</f>
        <v>252000</v>
      </c>
      <c r="BL3" s="344"/>
      <c r="BM3" s="335"/>
      <c r="BN3" s="335"/>
      <c r="BO3" s="335"/>
      <c r="BP3" s="335"/>
      <c r="BQ3" s="335"/>
      <c r="BR3" s="190">
        <v>252000</v>
      </c>
      <c r="BS3" s="596" t="e" cm="1" vm="1">
        <f t="array" aca="1" ref="BS3" ca="1">(H3*1+I+BS3:BS223*2+J3*3+K3*4+L3*5)-(M3*1+N3*2+O3*3+P3*4+Q3*5)</f>
        <v>#VALUE!</v>
      </c>
      <c r="BT3" s="537" t="s">
        <v>434</v>
      </c>
      <c r="BU3" s="459" t="s">
        <v>435</v>
      </c>
      <c r="BV3" s="478" t="s">
        <v>25</v>
      </c>
      <c r="BW3" s="278" t="s">
        <v>436</v>
      </c>
    </row>
    <row r="4" spans="1:75" s="194" customFormat="1" ht="30" x14ac:dyDescent="0.25">
      <c r="A4" s="195" t="s">
        <v>26</v>
      </c>
      <c r="B4" s="297">
        <v>1110</v>
      </c>
      <c r="C4" s="297">
        <v>110</v>
      </c>
      <c r="D4" s="298" t="s">
        <v>27</v>
      </c>
      <c r="E4" s="363">
        <v>43</v>
      </c>
      <c r="F4" s="364">
        <v>100</v>
      </c>
      <c r="G4" s="487">
        <v>4210000</v>
      </c>
      <c r="H4" s="380">
        <v>0.15</v>
      </c>
      <c r="I4" s="378">
        <v>0.56999999999999995</v>
      </c>
      <c r="J4" s="378">
        <v>0.14000000000000001</v>
      </c>
      <c r="K4" s="378">
        <v>0.14000000000000001</v>
      </c>
      <c r="L4" s="379">
        <v>0</v>
      </c>
      <c r="M4" s="380">
        <v>0.5</v>
      </c>
      <c r="N4" s="378">
        <v>0.3</v>
      </c>
      <c r="O4" s="378">
        <v>0.15</v>
      </c>
      <c r="P4" s="378">
        <v>4.9999999999999996E-2</v>
      </c>
      <c r="Q4" s="381">
        <v>0</v>
      </c>
      <c r="R4" s="581">
        <f>60822.37+9588.63</f>
        <v>70411</v>
      </c>
      <c r="S4" s="582">
        <f t="shared" ref="S4:S6" si="4">R4</f>
        <v>70411</v>
      </c>
      <c r="T4" s="307">
        <f t="shared" si="0"/>
        <v>131650</v>
      </c>
      <c r="U4" s="314">
        <v>109650</v>
      </c>
      <c r="V4" s="314"/>
      <c r="W4" s="314"/>
      <c r="X4" s="314"/>
      <c r="Y4" s="314"/>
      <c r="Z4" s="314"/>
      <c r="AA4" s="314"/>
      <c r="AB4" s="314"/>
      <c r="AC4" s="314"/>
      <c r="AD4" s="314"/>
      <c r="AE4" s="314">
        <v>22000</v>
      </c>
      <c r="AF4" s="314"/>
      <c r="AG4" s="434"/>
      <c r="AH4" s="998">
        <v>477519.02</v>
      </c>
      <c r="AI4" s="544">
        <f t="shared" si="1"/>
        <v>0</v>
      </c>
      <c r="AJ4" s="562">
        <f>$AH$4*AK4/SUM($AK$4:$AK$6)+AI4</f>
        <v>0</v>
      </c>
      <c r="AK4" s="306">
        <f t="shared" ref="AK4:AK22" si="5">SUM(AL4:AR4)</f>
        <v>0</v>
      </c>
      <c r="AL4" s="336">
        <v>0</v>
      </c>
      <c r="AM4" s="336"/>
      <c r="AN4" s="336"/>
      <c r="AO4" s="336"/>
      <c r="AP4" s="336"/>
      <c r="AQ4" s="336"/>
      <c r="AR4" s="201"/>
      <c r="AS4" s="539">
        <v>477500</v>
      </c>
      <c r="AT4" s="551">
        <f>AS4</f>
        <v>477500</v>
      </c>
      <c r="AU4" s="307">
        <f t="shared" si="2"/>
        <v>60000</v>
      </c>
      <c r="AV4" s="314">
        <v>60000</v>
      </c>
      <c r="AW4" s="314"/>
      <c r="AX4" s="314"/>
      <c r="AY4" s="314"/>
      <c r="AZ4" s="314"/>
      <c r="BA4" s="314"/>
      <c r="BB4" s="314"/>
      <c r="BC4" s="314"/>
      <c r="BD4" s="314"/>
      <c r="BE4" s="314"/>
      <c r="BF4" s="314"/>
      <c r="BG4" s="434"/>
      <c r="BH4" s="571">
        <f t="shared" ref="BH4:BH21" si="6">BK4</f>
        <v>33000</v>
      </c>
      <c r="BI4" s="544">
        <f t="shared" si="3"/>
        <v>24542.614904060687</v>
      </c>
      <c r="BJ4" s="562">
        <f t="shared" ref="BJ4:BJ22" si="7">BH4+BI4</f>
        <v>57542.614904060683</v>
      </c>
      <c r="BK4" s="352">
        <f t="shared" ref="BK4:BK22" si="8">SUM(BL4:BR4)</f>
        <v>33000</v>
      </c>
      <c r="BL4" s="345">
        <v>33000</v>
      </c>
      <c r="BM4" s="336"/>
      <c r="BN4" s="336"/>
      <c r="BO4" s="336"/>
      <c r="BP4" s="336"/>
      <c r="BQ4" s="336"/>
      <c r="BR4" s="201"/>
      <c r="BS4" s="597">
        <f t="shared" ref="BS4:BS22" si="9">(H4*1+I4*2+J4*3+K4*4+L4*5)-(M4*1+N4*2+O4*3+P4*4+Q4*5)</f>
        <v>0.52</v>
      </c>
      <c r="BT4" s="321" t="s">
        <v>437</v>
      </c>
      <c r="BU4" s="460" t="s">
        <v>29</v>
      </c>
      <c r="BV4" s="471" t="s">
        <v>25</v>
      </c>
      <c r="BW4" s="279"/>
    </row>
    <row r="5" spans="1:75" s="194" customFormat="1" ht="30" x14ac:dyDescent="0.25">
      <c r="A5" s="204" t="s">
        <v>26</v>
      </c>
      <c r="B5" s="292">
        <v>1120</v>
      </c>
      <c r="C5" s="292">
        <v>120</v>
      </c>
      <c r="D5" s="299" t="s">
        <v>30</v>
      </c>
      <c r="E5" s="363">
        <v>100.6</v>
      </c>
      <c r="F5" s="364">
        <v>130</v>
      </c>
      <c r="G5" s="488">
        <v>114070000</v>
      </c>
      <c r="H5" s="384">
        <v>0</v>
      </c>
      <c r="I5" s="382">
        <v>0.6</v>
      </c>
      <c r="J5" s="382">
        <v>0.4</v>
      </c>
      <c r="K5" s="382">
        <v>0</v>
      </c>
      <c r="L5" s="383">
        <v>0</v>
      </c>
      <c r="M5" s="384">
        <v>0.5</v>
      </c>
      <c r="N5" s="382">
        <v>0.3</v>
      </c>
      <c r="O5" s="382">
        <v>0.15</v>
      </c>
      <c r="P5" s="382">
        <v>4.9999999999999996E-2</v>
      </c>
      <c r="Q5" s="385">
        <v>0</v>
      </c>
      <c r="R5" s="583">
        <f>69724.32+3168</f>
        <v>72892.320000000007</v>
      </c>
      <c r="S5" s="584">
        <f t="shared" si="4"/>
        <v>72892.320000000007</v>
      </c>
      <c r="T5" s="308">
        <f t="shared" si="0"/>
        <v>119396</v>
      </c>
      <c r="U5" s="315">
        <v>10105</v>
      </c>
      <c r="V5" s="315"/>
      <c r="W5" s="315"/>
      <c r="X5" s="315"/>
      <c r="Y5" s="315"/>
      <c r="Z5" s="315">
        <v>109291</v>
      </c>
      <c r="AA5" s="315"/>
      <c r="AB5" s="315"/>
      <c r="AC5" s="315"/>
      <c r="AD5" s="315"/>
      <c r="AE5" s="315"/>
      <c r="AF5" s="315"/>
      <c r="AG5" s="435"/>
      <c r="AH5" s="1005"/>
      <c r="AI5" s="546">
        <f t="shared" si="1"/>
        <v>21677.289839023368</v>
      </c>
      <c r="AJ5" s="563">
        <f>$AH$4*AK5/SUM($AK$4:$AK$6)+AI5</f>
        <v>51647.102809734664</v>
      </c>
      <c r="AK5" s="308">
        <f t="shared" si="5"/>
        <v>30000</v>
      </c>
      <c r="AL5" s="337">
        <v>30000</v>
      </c>
      <c r="AM5" s="337"/>
      <c r="AN5" s="337"/>
      <c r="AO5" s="337"/>
      <c r="AP5" s="337"/>
      <c r="AQ5" s="337"/>
      <c r="AR5" s="210"/>
      <c r="AS5" s="540">
        <v>203000</v>
      </c>
      <c r="AT5" s="552">
        <f t="shared" ref="AT5:AT6" si="10">AS5</f>
        <v>203000</v>
      </c>
      <c r="AU5" s="308">
        <f t="shared" si="2"/>
        <v>150000</v>
      </c>
      <c r="AV5" s="315">
        <v>0</v>
      </c>
      <c r="AW5" s="315"/>
      <c r="AX5" s="315"/>
      <c r="AY5" s="315"/>
      <c r="AZ5" s="315">
        <v>150000</v>
      </c>
      <c r="BA5" s="315"/>
      <c r="BB5" s="315"/>
      <c r="BC5" s="315"/>
      <c r="BD5" s="315"/>
      <c r="BE5" s="315"/>
      <c r="BF5" s="315"/>
      <c r="BG5" s="435"/>
      <c r="BH5" s="572">
        <f t="shared" si="6"/>
        <v>0</v>
      </c>
      <c r="BI5" s="546">
        <f t="shared" si="3"/>
        <v>0</v>
      </c>
      <c r="BJ5" s="563">
        <f t="shared" si="7"/>
        <v>0</v>
      </c>
      <c r="BK5" s="353">
        <f t="shared" si="8"/>
        <v>0</v>
      </c>
      <c r="BL5" s="346">
        <v>0</v>
      </c>
      <c r="BM5" s="337"/>
      <c r="BN5" s="337"/>
      <c r="BO5" s="337"/>
      <c r="BP5" s="337"/>
      <c r="BQ5" s="337"/>
      <c r="BR5" s="210"/>
      <c r="BS5" s="598">
        <f t="shared" si="9"/>
        <v>0.65000000000000036</v>
      </c>
      <c r="BT5" s="322" t="s">
        <v>438</v>
      </c>
      <c r="BU5" s="463" t="s">
        <v>29</v>
      </c>
      <c r="BV5" s="458" t="s">
        <v>25</v>
      </c>
      <c r="BW5" s="280"/>
    </row>
    <row r="6" spans="1:75" s="194" customFormat="1" ht="56.25" customHeight="1" thickBot="1" x14ac:dyDescent="0.3">
      <c r="A6" s="213" t="s">
        <v>26</v>
      </c>
      <c r="B6" s="300">
        <v>1130</v>
      </c>
      <c r="C6" s="300">
        <v>199</v>
      </c>
      <c r="D6" s="301" t="s">
        <v>31</v>
      </c>
      <c r="E6" s="363">
        <v>95.48</v>
      </c>
      <c r="F6" s="364">
        <v>115.19</v>
      </c>
      <c r="G6" s="489">
        <v>29620000</v>
      </c>
      <c r="H6" s="388">
        <v>0.1</v>
      </c>
      <c r="I6" s="386">
        <v>0.26</v>
      </c>
      <c r="J6" s="386">
        <v>0.39</v>
      </c>
      <c r="K6" s="386">
        <v>0.24</v>
      </c>
      <c r="L6" s="387">
        <v>0.01</v>
      </c>
      <c r="M6" s="388">
        <v>0.5</v>
      </c>
      <c r="N6" s="386">
        <v>0.3</v>
      </c>
      <c r="O6" s="386">
        <v>0.15</v>
      </c>
      <c r="P6" s="386">
        <v>4.9999999999999996E-2</v>
      </c>
      <c r="Q6" s="389">
        <v>0</v>
      </c>
      <c r="R6" s="585">
        <f>1644035.47+137546.13-0.02+31000</f>
        <v>1812581.58</v>
      </c>
      <c r="S6" s="586">
        <f t="shared" si="4"/>
        <v>1812581.58</v>
      </c>
      <c r="T6" s="309">
        <f t="shared" si="0"/>
        <v>2629057.7199999997</v>
      </c>
      <c r="U6" s="316">
        <v>1492978</v>
      </c>
      <c r="V6" s="316"/>
      <c r="W6" s="316"/>
      <c r="X6" s="316"/>
      <c r="Y6" s="316"/>
      <c r="Z6" s="316"/>
      <c r="AA6" s="316"/>
      <c r="AB6" s="316"/>
      <c r="AC6" s="316">
        <f>48391+11252+19316</f>
        <v>78959</v>
      </c>
      <c r="AD6" s="316">
        <v>927382.72</v>
      </c>
      <c r="AE6" s="316">
        <v>129000</v>
      </c>
      <c r="AF6" s="316">
        <v>738</v>
      </c>
      <c r="AG6" s="436"/>
      <c r="AH6" s="999"/>
      <c r="AI6" s="547">
        <f t="shared" si="1"/>
        <v>323714.19492941565</v>
      </c>
      <c r="AJ6" s="564">
        <f>$AH$4*AK6/SUM($AK$4:$AK$6)+AI6</f>
        <v>771263.40195870434</v>
      </c>
      <c r="AK6" s="309">
        <f t="shared" si="5"/>
        <v>448000</v>
      </c>
      <c r="AL6" s="338">
        <v>448000</v>
      </c>
      <c r="AM6" s="338"/>
      <c r="AN6" s="338"/>
      <c r="AO6" s="338"/>
      <c r="AP6" s="338"/>
      <c r="AQ6" s="338"/>
      <c r="AR6" s="219"/>
      <c r="AS6" s="541">
        <v>789200</v>
      </c>
      <c r="AT6" s="553">
        <f t="shared" si="10"/>
        <v>789200</v>
      </c>
      <c r="AU6" s="309">
        <f t="shared" si="2"/>
        <v>706000</v>
      </c>
      <c r="AV6" s="316">
        <v>511000</v>
      </c>
      <c r="AW6" s="316"/>
      <c r="AX6" s="316"/>
      <c r="AY6" s="316"/>
      <c r="AZ6" s="316"/>
      <c r="BA6" s="316"/>
      <c r="BB6" s="316">
        <v>50000</v>
      </c>
      <c r="BC6" s="316">
        <v>100000</v>
      </c>
      <c r="BD6" s="316">
        <v>45000</v>
      </c>
      <c r="BE6" s="316"/>
      <c r="BF6" s="316"/>
      <c r="BG6" s="436"/>
      <c r="BH6" s="573">
        <f t="shared" si="6"/>
        <v>185000</v>
      </c>
      <c r="BI6" s="547">
        <f t="shared" si="3"/>
        <v>137587.38658337053</v>
      </c>
      <c r="BJ6" s="564">
        <f t="shared" si="7"/>
        <v>322587.38658337051</v>
      </c>
      <c r="BK6" s="354">
        <f>SUM(BL6:BR6)</f>
        <v>185000</v>
      </c>
      <c r="BL6" s="347">
        <v>185000</v>
      </c>
      <c r="BM6" s="338"/>
      <c r="BN6" s="338"/>
      <c r="BO6" s="338"/>
      <c r="BP6" s="338"/>
      <c r="BQ6" s="338"/>
      <c r="BR6" s="219"/>
      <c r="BS6" s="599">
        <f t="shared" si="9"/>
        <v>1.0499999999999998</v>
      </c>
      <c r="BT6" s="323" t="s">
        <v>439</v>
      </c>
      <c r="BU6" s="461" t="s">
        <v>29</v>
      </c>
      <c r="BV6" s="456" t="s">
        <v>373</v>
      </c>
      <c r="BW6" s="281"/>
    </row>
    <row r="7" spans="1:75" s="194" customFormat="1" ht="81" customHeight="1" thickBot="1" x14ac:dyDescent="0.3">
      <c r="A7" s="195" t="s">
        <v>34</v>
      </c>
      <c r="B7" s="297">
        <v>1210</v>
      </c>
      <c r="C7" s="297">
        <v>210</v>
      </c>
      <c r="D7" s="298" t="s">
        <v>35</v>
      </c>
      <c r="E7" s="365">
        <v>16.100000000000001</v>
      </c>
      <c r="F7" s="366">
        <v>25.28</v>
      </c>
      <c r="G7" s="490">
        <v>45000000</v>
      </c>
      <c r="H7" s="390">
        <v>0.19</v>
      </c>
      <c r="I7" s="391">
        <v>0.08</v>
      </c>
      <c r="J7" s="391">
        <v>0.11</v>
      </c>
      <c r="K7" s="391">
        <v>0.44</v>
      </c>
      <c r="L7" s="392">
        <v>0.18</v>
      </c>
      <c r="M7" s="390">
        <v>0.5</v>
      </c>
      <c r="N7" s="391">
        <v>0.3</v>
      </c>
      <c r="O7" s="391">
        <v>0.15</v>
      </c>
      <c r="P7" s="391">
        <v>4.9999999999999996E-2</v>
      </c>
      <c r="Q7" s="393">
        <v>0</v>
      </c>
      <c r="R7" s="1003">
        <f>6785966.17+362345.75+63142.53</f>
        <v>7211454.4500000002</v>
      </c>
      <c r="S7" s="580">
        <f>$R$7*T7/SUM($T$7:$T$9)</f>
        <v>649591.51245710126</v>
      </c>
      <c r="T7" s="307">
        <f t="shared" si="0"/>
        <v>568176.4</v>
      </c>
      <c r="U7" s="317"/>
      <c r="V7" s="317"/>
      <c r="W7" s="317"/>
      <c r="X7" s="317"/>
      <c r="Y7" s="317"/>
      <c r="Z7" s="317"/>
      <c r="AA7" s="317"/>
      <c r="AB7" s="317">
        <v>11207</v>
      </c>
      <c r="AC7" s="317"/>
      <c r="AD7" s="317">
        <v>112069.4</v>
      </c>
      <c r="AE7" s="317">
        <v>420500</v>
      </c>
      <c r="AF7" s="317">
        <v>24400</v>
      </c>
      <c r="AG7" s="437"/>
      <c r="AH7" s="998">
        <v>901467.28</v>
      </c>
      <c r="AI7" s="544">
        <f>AI$23*(AK7/AK$23)</f>
        <v>509416.31121704914</v>
      </c>
      <c r="AJ7" s="562">
        <f>$AH$7*AK7/SUM($AK$7:$AK$9)+AI7</f>
        <v>1233259.6283013315</v>
      </c>
      <c r="AK7" s="307">
        <f t="shared" si="5"/>
        <v>705000</v>
      </c>
      <c r="AL7" s="339"/>
      <c r="AM7" s="339"/>
      <c r="AN7" s="339"/>
      <c r="AO7" s="339"/>
      <c r="AP7" s="339">
        <v>705000</v>
      </c>
      <c r="AQ7" s="336"/>
      <c r="AR7" s="228"/>
      <c r="AS7" s="994">
        <v>2227750</v>
      </c>
      <c r="AT7" s="550">
        <f>$AS$7*AU7/SUM($AU$7:$AU$9)</f>
        <v>996833.31218274112</v>
      </c>
      <c r="AU7" s="307">
        <f t="shared" si="2"/>
        <v>881500</v>
      </c>
      <c r="AV7" s="317"/>
      <c r="AW7" s="317"/>
      <c r="AX7" s="317"/>
      <c r="AY7" s="317"/>
      <c r="AZ7" s="317">
        <v>100000</v>
      </c>
      <c r="BA7" s="317">
        <v>60000</v>
      </c>
      <c r="BB7" s="317"/>
      <c r="BC7" s="317">
        <v>445000</v>
      </c>
      <c r="BD7" s="317">
        <v>210000</v>
      </c>
      <c r="BE7" s="317"/>
      <c r="BF7" s="317">
        <f>133000*0.5</f>
        <v>66500</v>
      </c>
      <c r="BG7" s="437"/>
      <c r="BH7" s="571">
        <f t="shared" si="6"/>
        <v>800000</v>
      </c>
      <c r="BI7" s="544">
        <f t="shared" si="3"/>
        <v>594972.48252268333</v>
      </c>
      <c r="BJ7" s="562">
        <f t="shared" si="7"/>
        <v>1394972.4825226832</v>
      </c>
      <c r="BK7" s="352">
        <f t="shared" si="8"/>
        <v>800000</v>
      </c>
      <c r="BL7" s="348"/>
      <c r="BM7" s="339"/>
      <c r="BN7" s="339"/>
      <c r="BO7" s="339"/>
      <c r="BP7" s="339">
        <v>800000</v>
      </c>
      <c r="BQ7" s="335"/>
      <c r="BR7" s="228"/>
      <c r="BS7" s="597">
        <f t="shared" si="9"/>
        <v>1.5899999999999999</v>
      </c>
      <c r="BT7" s="324" t="s">
        <v>440</v>
      </c>
      <c r="BU7" s="495" t="s">
        <v>334</v>
      </c>
      <c r="BV7" s="457" t="s">
        <v>441</v>
      </c>
      <c r="BW7" s="284" t="s">
        <v>442</v>
      </c>
    </row>
    <row r="8" spans="1:75" s="194" customFormat="1" ht="72" customHeight="1" x14ac:dyDescent="0.25">
      <c r="A8" s="204" t="s">
        <v>34</v>
      </c>
      <c r="B8" s="292">
        <v>1220</v>
      </c>
      <c r="C8" s="292">
        <v>220</v>
      </c>
      <c r="D8" s="299" t="s">
        <v>39</v>
      </c>
      <c r="E8" s="363">
        <v>30.3</v>
      </c>
      <c r="F8" s="364">
        <v>25.24</v>
      </c>
      <c r="G8" s="491">
        <v>18700000</v>
      </c>
      <c r="H8" s="394">
        <v>0.25</v>
      </c>
      <c r="I8" s="395">
        <v>0.08</v>
      </c>
      <c r="J8" s="395">
        <v>0.08</v>
      </c>
      <c r="K8" s="395">
        <v>0.3</v>
      </c>
      <c r="L8" s="396">
        <v>0.28999999999999998</v>
      </c>
      <c r="M8" s="394">
        <v>0.5</v>
      </c>
      <c r="N8" s="395">
        <v>0.3</v>
      </c>
      <c r="O8" s="395">
        <v>0.15</v>
      </c>
      <c r="P8" s="395">
        <v>4.9999999999999996E-2</v>
      </c>
      <c r="Q8" s="397">
        <v>0</v>
      </c>
      <c r="R8" s="1016"/>
      <c r="S8" s="587">
        <f>$R$7*T8/SUM($T$7:$T$9)</f>
        <v>115719.43946432474</v>
      </c>
      <c r="T8" s="308">
        <f t="shared" si="0"/>
        <v>101216</v>
      </c>
      <c r="U8" s="315"/>
      <c r="V8" s="315"/>
      <c r="W8" s="315"/>
      <c r="X8" s="315"/>
      <c r="Y8" s="315"/>
      <c r="Z8" s="315"/>
      <c r="AA8" s="315"/>
      <c r="AB8" s="315">
        <v>12086</v>
      </c>
      <c r="AC8" s="315"/>
      <c r="AD8" s="315"/>
      <c r="AE8" s="315">
        <v>75000</v>
      </c>
      <c r="AF8" s="315">
        <f>2730+11400</f>
        <v>14130</v>
      </c>
      <c r="AG8" s="435"/>
      <c r="AH8" s="1005"/>
      <c r="AI8" s="546">
        <f t="shared" si="1"/>
        <v>125005.70473836808</v>
      </c>
      <c r="AJ8" s="563">
        <f>$AH$7*AK8/SUM($AK$7:$AK$9)+AI8</f>
        <v>302629.66765408561</v>
      </c>
      <c r="AK8" s="308">
        <f t="shared" si="5"/>
        <v>173000</v>
      </c>
      <c r="AL8" s="337"/>
      <c r="AM8" s="337"/>
      <c r="AN8" s="337"/>
      <c r="AO8" s="337"/>
      <c r="AP8" s="337">
        <v>173000</v>
      </c>
      <c r="AQ8" s="337"/>
      <c r="AR8" s="210"/>
      <c r="AS8" s="1006"/>
      <c r="AT8" s="554">
        <f t="shared" ref="AT8:AT9" si="11">$AS$7*AU8/SUM($AU$7:$AU$9)</f>
        <v>100079.12436548223</v>
      </c>
      <c r="AU8" s="308">
        <f t="shared" si="2"/>
        <v>88500</v>
      </c>
      <c r="AV8" s="315"/>
      <c r="AW8" s="315"/>
      <c r="AX8" s="315"/>
      <c r="AY8" s="315"/>
      <c r="AZ8" s="315"/>
      <c r="BA8" s="315">
        <v>22000</v>
      </c>
      <c r="BB8" s="315"/>
      <c r="BC8" s="315"/>
      <c r="BD8" s="315"/>
      <c r="BE8" s="315"/>
      <c r="BF8" s="315">
        <f>133000*0.5</f>
        <v>66500</v>
      </c>
      <c r="BG8" s="435"/>
      <c r="BH8" s="572">
        <f t="shared" si="6"/>
        <v>175000</v>
      </c>
      <c r="BI8" s="546">
        <f t="shared" si="3"/>
        <v>130150.23055183697</v>
      </c>
      <c r="BJ8" s="563">
        <f t="shared" si="7"/>
        <v>305150.23055183695</v>
      </c>
      <c r="BK8" s="353">
        <f t="shared" si="8"/>
        <v>175000</v>
      </c>
      <c r="BL8" s="346"/>
      <c r="BM8" s="337"/>
      <c r="BN8" s="337"/>
      <c r="BO8" s="337"/>
      <c r="BP8" s="337">
        <v>175000</v>
      </c>
      <c r="BQ8" s="337"/>
      <c r="BR8" s="210"/>
      <c r="BS8" s="598">
        <f t="shared" si="9"/>
        <v>1.5499999999999998</v>
      </c>
      <c r="BT8" s="325" t="s">
        <v>443</v>
      </c>
      <c r="BU8" s="463" t="s">
        <v>336</v>
      </c>
      <c r="BV8" s="457" t="s">
        <v>444</v>
      </c>
      <c r="BW8" s="284" t="s">
        <v>442</v>
      </c>
    </row>
    <row r="9" spans="1:75" s="194" customFormat="1" ht="72" customHeight="1" thickBot="1" x14ac:dyDescent="0.3">
      <c r="A9" s="213" t="s">
        <v>34</v>
      </c>
      <c r="B9" s="300">
        <v>1230</v>
      </c>
      <c r="C9" s="300">
        <v>299</v>
      </c>
      <c r="D9" s="301" t="s">
        <v>42</v>
      </c>
      <c r="E9" s="367">
        <v>19.21</v>
      </c>
      <c r="F9" s="368">
        <v>31.9</v>
      </c>
      <c r="G9" s="492">
        <v>28200000</v>
      </c>
      <c r="H9" s="394">
        <v>0.19</v>
      </c>
      <c r="I9" s="395">
        <v>0.06</v>
      </c>
      <c r="J9" s="395">
        <v>0.18</v>
      </c>
      <c r="K9" s="395">
        <v>0.35</v>
      </c>
      <c r="L9" s="396">
        <v>0.22</v>
      </c>
      <c r="M9" s="394">
        <v>0.5</v>
      </c>
      <c r="N9" s="395">
        <v>0.3</v>
      </c>
      <c r="O9" s="395">
        <v>0.15</v>
      </c>
      <c r="P9" s="395">
        <v>4.9999999999999996E-2</v>
      </c>
      <c r="Q9" s="397">
        <v>0</v>
      </c>
      <c r="R9" s="1004"/>
      <c r="S9" s="588">
        <f>$R$7*T9/SUM($T$7:$T$9)</f>
        <v>6446143.4980785735</v>
      </c>
      <c r="T9" s="309">
        <f t="shared" si="0"/>
        <v>5638230.3899999997</v>
      </c>
      <c r="U9" s="318"/>
      <c r="V9" s="318"/>
      <c r="W9" s="318"/>
      <c r="X9" s="318"/>
      <c r="Y9" s="318"/>
      <c r="Z9" s="318"/>
      <c r="AA9" s="318"/>
      <c r="AB9" s="318">
        <v>5184</v>
      </c>
      <c r="AC9" s="318">
        <f>7410+654+216942+4809324+460645+12540+36549</f>
        <v>5544064</v>
      </c>
      <c r="AD9" s="318">
        <v>88982.39</v>
      </c>
      <c r="AE9" s="318"/>
      <c r="AF9" s="318"/>
      <c r="AG9" s="438"/>
      <c r="AH9" s="999"/>
      <c r="AI9" s="547">
        <f t="shared" si="1"/>
        <v>0</v>
      </c>
      <c r="AJ9" s="564">
        <f>$AH$7*AK9/SUM($AK$7:$AK$9)+AI9</f>
        <v>0</v>
      </c>
      <c r="AK9" s="309">
        <f t="shared" si="5"/>
        <v>0</v>
      </c>
      <c r="AL9" s="340"/>
      <c r="AM9" s="340"/>
      <c r="AN9" s="340"/>
      <c r="AO9" s="340"/>
      <c r="AP9" s="340">
        <v>0</v>
      </c>
      <c r="AQ9" s="338"/>
      <c r="AR9" s="240"/>
      <c r="AS9" s="995"/>
      <c r="AT9" s="555">
        <f t="shared" si="11"/>
        <v>1130837.5634517767</v>
      </c>
      <c r="AU9" s="309">
        <f t="shared" si="2"/>
        <v>1000000</v>
      </c>
      <c r="AV9" s="318"/>
      <c r="AW9" s="318"/>
      <c r="AX9" s="318"/>
      <c r="AY9" s="318"/>
      <c r="AZ9" s="318"/>
      <c r="BA9" s="318"/>
      <c r="BB9" s="318">
        <v>900000</v>
      </c>
      <c r="BC9" s="318">
        <v>100000</v>
      </c>
      <c r="BD9" s="318"/>
      <c r="BE9" s="318"/>
      <c r="BF9" s="318"/>
      <c r="BG9" s="438"/>
      <c r="BH9" s="573">
        <f t="shared" si="6"/>
        <v>50000</v>
      </c>
      <c r="BI9" s="547">
        <f t="shared" si="3"/>
        <v>37185.780157667708</v>
      </c>
      <c r="BJ9" s="564">
        <f t="shared" si="7"/>
        <v>87185.780157667701</v>
      </c>
      <c r="BK9" s="354">
        <f t="shared" si="8"/>
        <v>50000</v>
      </c>
      <c r="BL9" s="349"/>
      <c r="BM9" s="340"/>
      <c r="BN9" s="340"/>
      <c r="BO9" s="340"/>
      <c r="BP9" s="340">
        <v>50000</v>
      </c>
      <c r="BQ9" s="338"/>
      <c r="BR9" s="240"/>
      <c r="BS9" s="599">
        <f t="shared" si="9"/>
        <v>1.6</v>
      </c>
      <c r="BT9" s="357" t="s">
        <v>445</v>
      </c>
      <c r="BU9" s="482" t="s">
        <v>446</v>
      </c>
      <c r="BV9" s="483" t="s">
        <v>447</v>
      </c>
      <c r="BW9" s="485"/>
    </row>
    <row r="10" spans="1:75" s="194" customFormat="1" ht="81" customHeight="1" x14ac:dyDescent="0.25">
      <c r="A10" s="195" t="s">
        <v>45</v>
      </c>
      <c r="B10" s="297">
        <v>1310</v>
      </c>
      <c r="C10" s="297">
        <v>310</v>
      </c>
      <c r="D10" s="298" t="s">
        <v>46</v>
      </c>
      <c r="E10" s="365">
        <v>11.5</v>
      </c>
      <c r="F10" s="366">
        <v>25</v>
      </c>
      <c r="G10" s="490">
        <v>27000000</v>
      </c>
      <c r="H10" s="398">
        <v>0.13</v>
      </c>
      <c r="I10" s="399">
        <v>7.0000000000000007E-2</v>
      </c>
      <c r="J10" s="399">
        <v>0.1</v>
      </c>
      <c r="K10" s="399">
        <v>0.47</v>
      </c>
      <c r="L10" s="400">
        <v>0.23</v>
      </c>
      <c r="M10" s="398">
        <v>0.3</v>
      </c>
      <c r="N10" s="399">
        <v>0.5</v>
      </c>
      <c r="O10" s="399">
        <v>0.19999999999999998</v>
      </c>
      <c r="P10" s="399">
        <v>0</v>
      </c>
      <c r="Q10" s="400">
        <v>0</v>
      </c>
      <c r="R10" s="1003">
        <f>1527727.81+202838.88+16131.69</f>
        <v>1746698.38</v>
      </c>
      <c r="S10" s="580">
        <f>$R$10*T10/SUM($T$10:$T$13)</f>
        <v>161059.59402477578</v>
      </c>
      <c r="T10" s="307">
        <f t="shared" si="0"/>
        <v>123338.09</v>
      </c>
      <c r="U10" s="314"/>
      <c r="V10" s="314"/>
      <c r="W10" s="314"/>
      <c r="X10" s="314"/>
      <c r="Y10" s="314"/>
      <c r="Z10" s="314"/>
      <c r="AA10" s="314"/>
      <c r="AB10" s="314"/>
      <c r="AC10" s="314"/>
      <c r="AD10" s="314">
        <v>64338.09</v>
      </c>
      <c r="AE10" s="314">
        <v>59000</v>
      </c>
      <c r="AF10" s="314"/>
      <c r="AG10" s="434"/>
      <c r="AH10" s="998">
        <v>424260.41</v>
      </c>
      <c r="AI10" s="544">
        <f t="shared" si="1"/>
        <v>267732.59392013779</v>
      </c>
      <c r="AJ10" s="562">
        <f>$AH$10*AK10/SUM($AK$10:$AK$13)+AI10</f>
        <v>669237.19366536476</v>
      </c>
      <c r="AK10" s="307">
        <f t="shared" si="5"/>
        <v>370525</v>
      </c>
      <c r="AL10" s="336"/>
      <c r="AM10" s="336"/>
      <c r="AN10" s="336"/>
      <c r="AO10" s="336"/>
      <c r="AP10" s="336"/>
      <c r="AQ10" s="336">
        <v>370525</v>
      </c>
      <c r="AR10" s="201"/>
      <c r="AS10" s="994">
        <v>494000</v>
      </c>
      <c r="AT10" s="550">
        <f>$AS$10*AU10/SUM($AU$10:$AU$13)</f>
        <v>209000</v>
      </c>
      <c r="AU10" s="307">
        <f t="shared" si="2"/>
        <v>220000</v>
      </c>
      <c r="AV10" s="314"/>
      <c r="AW10" s="314"/>
      <c r="AX10" s="314"/>
      <c r="AY10" s="314"/>
      <c r="AZ10" s="314">
        <v>50000</v>
      </c>
      <c r="BA10" s="314">
        <v>10000</v>
      </c>
      <c r="BB10" s="314"/>
      <c r="BC10" s="314">
        <v>100000</v>
      </c>
      <c r="BD10" s="314">
        <v>60000</v>
      </c>
      <c r="BE10" s="314"/>
      <c r="BF10" s="314"/>
      <c r="BG10" s="434"/>
      <c r="BH10" s="571">
        <f t="shared" si="6"/>
        <v>265000</v>
      </c>
      <c r="BI10" s="544">
        <f t="shared" si="3"/>
        <v>197084.63483563883</v>
      </c>
      <c r="BJ10" s="562">
        <f t="shared" si="7"/>
        <v>462084.6348356388</v>
      </c>
      <c r="BK10" s="352">
        <f t="shared" si="8"/>
        <v>265000</v>
      </c>
      <c r="BL10" s="345"/>
      <c r="BM10" s="336"/>
      <c r="BN10" s="336"/>
      <c r="BO10" s="336"/>
      <c r="BP10" s="336"/>
      <c r="BQ10" s="336">
        <v>265000</v>
      </c>
      <c r="BR10" s="201"/>
      <c r="BS10" s="597">
        <f t="shared" si="9"/>
        <v>1.7000000000000006</v>
      </c>
      <c r="BT10" s="327" t="s">
        <v>448</v>
      </c>
      <c r="BU10" s="507" t="s">
        <v>449</v>
      </c>
      <c r="BV10" s="473" t="s">
        <v>450</v>
      </c>
      <c r="BW10" s="282" t="s">
        <v>451</v>
      </c>
    </row>
    <row r="11" spans="1:75" s="194" customFormat="1" ht="30" x14ac:dyDescent="0.25">
      <c r="A11" s="204" t="s">
        <v>45</v>
      </c>
      <c r="B11" s="311" t="s">
        <v>49</v>
      </c>
      <c r="C11" s="292">
        <v>351</v>
      </c>
      <c r="D11" s="299" t="s">
        <v>50</v>
      </c>
      <c r="E11" s="363">
        <v>5.86</v>
      </c>
      <c r="F11" s="364">
        <v>58.41</v>
      </c>
      <c r="G11" s="491">
        <v>285000</v>
      </c>
      <c r="H11" s="394">
        <v>0.32</v>
      </c>
      <c r="I11" s="395">
        <v>0.18</v>
      </c>
      <c r="J11" s="395">
        <v>0.39</v>
      </c>
      <c r="K11" s="395">
        <v>0.11</v>
      </c>
      <c r="L11" s="397">
        <v>0</v>
      </c>
      <c r="M11" s="394">
        <v>0.3</v>
      </c>
      <c r="N11" s="395">
        <v>0.5</v>
      </c>
      <c r="O11" s="395">
        <v>0.19999999999999998</v>
      </c>
      <c r="P11" s="395">
        <v>0</v>
      </c>
      <c r="Q11" s="397">
        <v>0</v>
      </c>
      <c r="R11" s="1016"/>
      <c r="S11" s="587">
        <f t="shared" ref="S11:S13" si="12">$R$10*T11/SUM($T$10:$T$13)</f>
        <v>6529.1911859821967</v>
      </c>
      <c r="T11" s="308">
        <f t="shared" si="0"/>
        <v>5000</v>
      </c>
      <c r="U11" s="315"/>
      <c r="V11" s="315"/>
      <c r="W11" s="315"/>
      <c r="X11" s="315"/>
      <c r="Y11" s="315"/>
      <c r="Z11" s="315"/>
      <c r="AA11" s="315"/>
      <c r="AB11" s="315"/>
      <c r="AC11" s="315"/>
      <c r="AD11" s="315"/>
      <c r="AE11" s="315">
        <v>5000</v>
      </c>
      <c r="AF11" s="315"/>
      <c r="AG11" s="435"/>
      <c r="AH11" s="1005"/>
      <c r="AI11" s="546">
        <f t="shared" si="1"/>
        <v>0</v>
      </c>
      <c r="AJ11" s="563">
        <f>$AH$10*AK11/SUM($AK$10:$AK$13)+AI11</f>
        <v>0</v>
      </c>
      <c r="AK11" s="308">
        <f t="shared" si="5"/>
        <v>0</v>
      </c>
      <c r="AL11" s="337"/>
      <c r="AM11" s="337"/>
      <c r="AN11" s="337"/>
      <c r="AO11" s="337"/>
      <c r="AP11" s="337"/>
      <c r="AQ11" s="337">
        <v>0</v>
      </c>
      <c r="AR11" s="210"/>
      <c r="AS11" s="1006"/>
      <c r="AT11" s="554">
        <f t="shared" ref="AT11:AT13" si="13">$AS$10*AU11/SUM($AU$10:$AU$13)</f>
        <v>0</v>
      </c>
      <c r="AU11" s="308">
        <f t="shared" si="2"/>
        <v>0</v>
      </c>
      <c r="AV11" s="315"/>
      <c r="AW11" s="315"/>
      <c r="AX11" s="315"/>
      <c r="AY11" s="315"/>
      <c r="AZ11" s="315"/>
      <c r="BA11" s="315"/>
      <c r="BB11" s="315"/>
      <c r="BC11" s="315"/>
      <c r="BD11" s="315"/>
      <c r="BE11" s="315"/>
      <c r="BF11" s="315"/>
      <c r="BG11" s="435"/>
      <c r="BH11" s="572">
        <f t="shared" si="6"/>
        <v>30000</v>
      </c>
      <c r="BI11" s="546">
        <f t="shared" si="3"/>
        <v>22311.468094600623</v>
      </c>
      <c r="BJ11" s="563">
        <f t="shared" si="7"/>
        <v>52311.468094600627</v>
      </c>
      <c r="BK11" s="353">
        <f t="shared" si="8"/>
        <v>30000</v>
      </c>
      <c r="BL11" s="346"/>
      <c r="BM11" s="337"/>
      <c r="BN11" s="337"/>
      <c r="BO11" s="337"/>
      <c r="BP11" s="337"/>
      <c r="BQ11" s="337">
        <v>30000</v>
      </c>
      <c r="BR11" s="210"/>
      <c r="BS11" s="598">
        <f t="shared" si="9"/>
        <v>0.39000000000000012</v>
      </c>
      <c r="BT11" s="325"/>
      <c r="BU11" s="508" t="s">
        <v>452</v>
      </c>
      <c r="BV11" s="509" t="s">
        <v>25</v>
      </c>
      <c r="BW11" s="312"/>
    </row>
    <row r="12" spans="1:75" s="194" customFormat="1" ht="30" x14ac:dyDescent="0.25">
      <c r="A12" s="204" t="s">
        <v>45</v>
      </c>
      <c r="B12" s="311" t="s">
        <v>49</v>
      </c>
      <c r="C12" s="292">
        <v>352</v>
      </c>
      <c r="D12" s="299" t="s">
        <v>53</v>
      </c>
      <c r="E12" s="363">
        <v>24.86</v>
      </c>
      <c r="F12" s="364">
        <v>33</v>
      </c>
      <c r="G12" s="491">
        <v>8400000</v>
      </c>
      <c r="H12" s="394">
        <v>0.28999999999999998</v>
      </c>
      <c r="I12" s="395">
        <v>0.14000000000000001</v>
      </c>
      <c r="J12" s="395">
        <v>0.28999999999999998</v>
      </c>
      <c r="K12" s="395">
        <v>0.14000000000000001</v>
      </c>
      <c r="L12" s="397">
        <v>0.14000000000000001</v>
      </c>
      <c r="M12" s="394">
        <v>0.3</v>
      </c>
      <c r="N12" s="395">
        <v>0.5</v>
      </c>
      <c r="O12" s="395">
        <v>0.19999999999999998</v>
      </c>
      <c r="P12" s="395">
        <v>0</v>
      </c>
      <c r="Q12" s="397">
        <v>0</v>
      </c>
      <c r="R12" s="1016"/>
      <c r="S12" s="587">
        <f>$R$10*T12/SUM($T$10:$T$13)</f>
        <v>370975.58480513643</v>
      </c>
      <c r="T12" s="308">
        <f t="shared" si="0"/>
        <v>284090</v>
      </c>
      <c r="U12" s="315"/>
      <c r="V12" s="315"/>
      <c r="W12" s="315"/>
      <c r="X12" s="315"/>
      <c r="Y12" s="315"/>
      <c r="Z12" s="315"/>
      <c r="AA12" s="315"/>
      <c r="AB12" s="315">
        <f>19590+56293+12818</f>
        <v>88701</v>
      </c>
      <c r="AC12" s="315"/>
      <c r="AD12" s="315"/>
      <c r="AE12" s="315"/>
      <c r="AF12" s="315">
        <f>19590+119506+56293</f>
        <v>195389</v>
      </c>
      <c r="AG12" s="435"/>
      <c r="AH12" s="1005"/>
      <c r="AI12" s="546">
        <f t="shared" si="1"/>
        <v>15174.102887316358</v>
      </c>
      <c r="AJ12" s="563">
        <f>$AH$10*AK12/SUM($AK$10:$AK$13)+AI12</f>
        <v>37929.913142089361</v>
      </c>
      <c r="AK12" s="308">
        <f t="shared" si="5"/>
        <v>21000</v>
      </c>
      <c r="AL12" s="337"/>
      <c r="AM12" s="337"/>
      <c r="AN12" s="337"/>
      <c r="AO12" s="337"/>
      <c r="AP12" s="337"/>
      <c r="AQ12" s="337">
        <v>21000</v>
      </c>
      <c r="AR12" s="210"/>
      <c r="AS12" s="1006"/>
      <c r="AT12" s="554">
        <f t="shared" si="13"/>
        <v>47500</v>
      </c>
      <c r="AU12" s="308">
        <f t="shared" si="2"/>
        <v>50000</v>
      </c>
      <c r="AV12" s="315"/>
      <c r="AW12" s="315"/>
      <c r="AX12" s="315"/>
      <c r="AY12" s="315"/>
      <c r="AZ12" s="315"/>
      <c r="BA12" s="315"/>
      <c r="BB12" s="315"/>
      <c r="BC12" s="315"/>
      <c r="BD12" s="315"/>
      <c r="BE12" s="315"/>
      <c r="BF12" s="315">
        <v>50000</v>
      </c>
      <c r="BG12" s="435"/>
      <c r="BH12" s="572">
        <f t="shared" si="6"/>
        <v>21000</v>
      </c>
      <c r="BI12" s="546">
        <f t="shared" si="3"/>
        <v>15618.027666220438</v>
      </c>
      <c r="BJ12" s="563">
        <f t="shared" si="7"/>
        <v>36618.027666220441</v>
      </c>
      <c r="BK12" s="353">
        <f t="shared" si="8"/>
        <v>21000</v>
      </c>
      <c r="BL12" s="346"/>
      <c r="BM12" s="337"/>
      <c r="BN12" s="337"/>
      <c r="BO12" s="337"/>
      <c r="BP12" s="337"/>
      <c r="BQ12" s="337">
        <v>21000</v>
      </c>
      <c r="BR12" s="210"/>
      <c r="BS12" s="598">
        <f t="shared" si="9"/>
        <v>0.80000000000000027</v>
      </c>
      <c r="BT12" s="325" t="s">
        <v>453</v>
      </c>
      <c r="BU12" s="508" t="s">
        <v>454</v>
      </c>
      <c r="BV12" s="509" t="s">
        <v>455</v>
      </c>
      <c r="BW12" s="312"/>
    </row>
    <row r="13" spans="1:75" s="194" customFormat="1" ht="45.75" thickBot="1" x14ac:dyDescent="0.3">
      <c r="A13" s="213" t="s">
        <v>45</v>
      </c>
      <c r="B13" s="302" t="s">
        <v>49</v>
      </c>
      <c r="C13" s="300">
        <v>399</v>
      </c>
      <c r="D13" s="301" t="s">
        <v>56</v>
      </c>
      <c r="E13" s="369">
        <v>1</v>
      </c>
      <c r="F13" s="370">
        <v>40</v>
      </c>
      <c r="G13" s="602">
        <v>1208134</v>
      </c>
      <c r="H13" s="603">
        <v>1</v>
      </c>
      <c r="I13" s="604">
        <v>0</v>
      </c>
      <c r="J13" s="604">
        <v>0</v>
      </c>
      <c r="K13" s="604">
        <v>0</v>
      </c>
      <c r="L13" s="605">
        <v>0</v>
      </c>
      <c r="M13" s="401">
        <v>0.3</v>
      </c>
      <c r="N13" s="402">
        <v>0.5</v>
      </c>
      <c r="O13" s="402">
        <v>0.2</v>
      </c>
      <c r="P13" s="402">
        <v>0</v>
      </c>
      <c r="Q13" s="403">
        <v>0</v>
      </c>
      <c r="R13" s="1004"/>
      <c r="S13" s="588">
        <f t="shared" si="12"/>
        <v>1208134.0099841056</v>
      </c>
      <c r="T13" s="309">
        <f t="shared" si="0"/>
        <v>925178.92</v>
      </c>
      <c r="U13" s="316"/>
      <c r="V13" s="316"/>
      <c r="W13" s="316"/>
      <c r="X13" s="316"/>
      <c r="Y13" s="316"/>
      <c r="Z13" s="316"/>
      <c r="AA13" s="316"/>
      <c r="AB13" s="316"/>
      <c r="AC13" s="316">
        <f>8734+327522+575252+9489</f>
        <v>920997</v>
      </c>
      <c r="AD13" s="316">
        <v>4181.92</v>
      </c>
      <c r="AE13" s="316"/>
      <c r="AF13" s="316"/>
      <c r="AG13" s="497"/>
      <c r="AH13" s="999"/>
      <c r="AI13" s="547">
        <f t="shared" si="1"/>
        <v>0</v>
      </c>
      <c r="AJ13" s="564">
        <f>$AH$10*AK13/SUM($AK$10:$AK$13)+AI13</f>
        <v>0</v>
      </c>
      <c r="AK13" s="309">
        <f t="shared" si="5"/>
        <v>0</v>
      </c>
      <c r="AL13" s="338"/>
      <c r="AM13" s="338"/>
      <c r="AN13" s="338"/>
      <c r="AO13" s="338"/>
      <c r="AP13" s="338"/>
      <c r="AQ13" s="338"/>
      <c r="AR13" s="219"/>
      <c r="AS13" s="995"/>
      <c r="AT13" s="555">
        <f t="shared" si="13"/>
        <v>237500</v>
      </c>
      <c r="AU13" s="309">
        <f t="shared" si="2"/>
        <v>250000</v>
      </c>
      <c r="AV13" s="316"/>
      <c r="AW13" s="316"/>
      <c r="AX13" s="316"/>
      <c r="AY13" s="316"/>
      <c r="AZ13" s="316"/>
      <c r="BA13" s="316"/>
      <c r="BB13" s="316">
        <v>200000</v>
      </c>
      <c r="BC13" s="316">
        <v>50000</v>
      </c>
      <c r="BD13" s="316"/>
      <c r="BE13" s="316"/>
      <c r="BF13" s="316"/>
      <c r="BG13" s="436"/>
      <c r="BH13" s="573">
        <f t="shared" si="6"/>
        <v>105000</v>
      </c>
      <c r="BI13" s="547">
        <f t="shared" si="3"/>
        <v>78090.138331102193</v>
      </c>
      <c r="BJ13" s="564">
        <f t="shared" si="7"/>
        <v>183090.13833110221</v>
      </c>
      <c r="BK13" s="354">
        <f t="shared" si="8"/>
        <v>105000</v>
      </c>
      <c r="BL13" s="347"/>
      <c r="BM13" s="338"/>
      <c r="BN13" s="338"/>
      <c r="BO13" s="338"/>
      <c r="BP13" s="338"/>
      <c r="BQ13" s="338">
        <v>105000</v>
      </c>
      <c r="BR13" s="219"/>
      <c r="BS13" s="599">
        <f t="shared" si="9"/>
        <v>-0.90000000000000013</v>
      </c>
      <c r="BT13" s="454" t="s">
        <v>456</v>
      </c>
      <c r="BU13" s="480" t="s">
        <v>457</v>
      </c>
      <c r="BV13" s="510" t="s">
        <v>25</v>
      </c>
      <c r="BW13" s="283"/>
    </row>
    <row r="14" spans="1:75" s="194" customFormat="1" ht="75" x14ac:dyDescent="0.25">
      <c r="A14" s="195" t="s">
        <v>59</v>
      </c>
      <c r="B14" s="297">
        <v>1410</v>
      </c>
      <c r="C14" s="297">
        <v>410</v>
      </c>
      <c r="D14" s="303" t="s">
        <v>60</v>
      </c>
      <c r="E14" s="365">
        <v>20.18</v>
      </c>
      <c r="F14" s="366">
        <v>20</v>
      </c>
      <c r="G14" s="490">
        <v>92000000</v>
      </c>
      <c r="H14" s="606">
        <v>0.28000000000000003</v>
      </c>
      <c r="I14" s="399">
        <v>0.27</v>
      </c>
      <c r="J14" s="399">
        <v>0.18</v>
      </c>
      <c r="K14" s="399">
        <v>0.18</v>
      </c>
      <c r="L14" s="400">
        <v>0.09</v>
      </c>
      <c r="M14" s="398">
        <v>0.5</v>
      </c>
      <c r="N14" s="399">
        <v>0.3</v>
      </c>
      <c r="O14" s="399">
        <v>0.19999999999999998</v>
      </c>
      <c r="P14" s="399">
        <v>0</v>
      </c>
      <c r="Q14" s="400">
        <v>0</v>
      </c>
      <c r="R14" s="1003">
        <f>3630179.74+439195.51</f>
        <v>4069375.25</v>
      </c>
      <c r="S14" s="580">
        <f>$R$14*T14/SUM($T$14:$T$15)</f>
        <v>86613.441064484534</v>
      </c>
      <c r="T14" s="307">
        <f t="shared" si="0"/>
        <v>82779.56</v>
      </c>
      <c r="U14" s="317"/>
      <c r="V14" s="317"/>
      <c r="W14" s="317"/>
      <c r="X14" s="317"/>
      <c r="Y14" s="317"/>
      <c r="Z14" s="317"/>
      <c r="AA14" s="317"/>
      <c r="AB14" s="317"/>
      <c r="AC14" s="317"/>
      <c r="AD14" s="317">
        <v>67779.56</v>
      </c>
      <c r="AE14" s="317">
        <v>15000</v>
      </c>
      <c r="AF14" s="317"/>
      <c r="AG14" s="437"/>
      <c r="AH14" s="998">
        <v>219639.7</v>
      </c>
      <c r="AI14" s="544">
        <f t="shared" si="1"/>
        <v>21460.516940633133</v>
      </c>
      <c r="AJ14" s="562">
        <f>$AH$14*AK14/SUM($AK$14:$AK$15)+AI14</f>
        <v>58019.332238251845</v>
      </c>
      <c r="AK14" s="307">
        <f t="shared" si="5"/>
        <v>29700</v>
      </c>
      <c r="AL14" s="339"/>
      <c r="AM14" s="339"/>
      <c r="AN14" s="339"/>
      <c r="AO14" s="339"/>
      <c r="AP14" s="339"/>
      <c r="AQ14" s="336">
        <v>29700</v>
      </c>
      <c r="AR14" s="228"/>
      <c r="AS14" s="994">
        <v>2192000</v>
      </c>
      <c r="AT14" s="550">
        <f>$AS$14*AU14/SUM($AU$14:$AU$15)</f>
        <v>508904.4740024184</v>
      </c>
      <c r="AU14" s="307">
        <f t="shared" si="2"/>
        <v>384000</v>
      </c>
      <c r="AV14" s="317"/>
      <c r="AW14" s="317"/>
      <c r="AX14" s="317"/>
      <c r="AY14" s="317"/>
      <c r="AZ14" s="317"/>
      <c r="BA14" s="317">
        <v>10000</v>
      </c>
      <c r="BB14" s="317"/>
      <c r="BC14" s="317"/>
      <c r="BD14" s="317"/>
      <c r="BE14" s="317"/>
      <c r="BF14" s="317">
        <f>161000+63000+150000</f>
        <v>374000</v>
      </c>
      <c r="BG14" s="437"/>
      <c r="BH14" s="571">
        <f t="shared" si="6"/>
        <v>56200</v>
      </c>
      <c r="BI14" s="544">
        <f t="shared" si="3"/>
        <v>41796.816897218501</v>
      </c>
      <c r="BJ14" s="562">
        <f t="shared" si="7"/>
        <v>97996.816897218494</v>
      </c>
      <c r="BK14" s="352">
        <f t="shared" si="8"/>
        <v>56200</v>
      </c>
      <c r="BL14" s="348"/>
      <c r="BM14" s="339"/>
      <c r="BN14" s="339"/>
      <c r="BO14" s="339"/>
      <c r="BP14" s="339"/>
      <c r="BQ14" s="339">
        <v>56200</v>
      </c>
      <c r="BR14" s="228"/>
      <c r="BS14" s="597">
        <f t="shared" si="9"/>
        <v>0.83000000000000007</v>
      </c>
      <c r="BT14" s="328" t="s">
        <v>458</v>
      </c>
      <c r="BU14" s="496" t="s">
        <v>390</v>
      </c>
      <c r="BV14" s="484" t="s">
        <v>459</v>
      </c>
      <c r="BW14" s="282" t="s">
        <v>460</v>
      </c>
    </row>
    <row r="15" spans="1:75" s="194" customFormat="1" ht="162.75" customHeight="1" thickBot="1" x14ac:dyDescent="0.3">
      <c r="A15" s="213" t="s">
        <v>59</v>
      </c>
      <c r="B15" s="300">
        <v>1420</v>
      </c>
      <c r="C15" s="300">
        <v>499</v>
      </c>
      <c r="D15" s="301" t="s">
        <v>63</v>
      </c>
      <c r="E15" s="367">
        <v>15.13</v>
      </c>
      <c r="F15" s="368">
        <v>20</v>
      </c>
      <c r="G15" s="492">
        <v>21500000</v>
      </c>
      <c r="H15" s="401">
        <v>0.36</v>
      </c>
      <c r="I15" s="402">
        <v>0.28999999999999998</v>
      </c>
      <c r="J15" s="402">
        <v>0.11</v>
      </c>
      <c r="K15" s="604">
        <v>0.17</v>
      </c>
      <c r="L15" s="403">
        <v>7.0000000000000007E-2</v>
      </c>
      <c r="M15" s="401">
        <v>0.39999999999999997</v>
      </c>
      <c r="N15" s="402">
        <v>0.35</v>
      </c>
      <c r="O15" s="402">
        <v>0.25</v>
      </c>
      <c r="P15" s="402">
        <v>0</v>
      </c>
      <c r="Q15" s="403">
        <v>0</v>
      </c>
      <c r="R15" s="1004"/>
      <c r="S15" s="588">
        <f>$R$14*T15/SUM($T$14:$T$15)</f>
        <v>3982761.8089355156</v>
      </c>
      <c r="T15" s="309">
        <f t="shared" si="0"/>
        <v>3806467.75</v>
      </c>
      <c r="U15" s="318">
        <v>80675</v>
      </c>
      <c r="V15" s="318"/>
      <c r="W15" s="318"/>
      <c r="X15" s="318"/>
      <c r="Y15" s="318"/>
      <c r="Z15" s="318"/>
      <c r="AA15" s="318"/>
      <c r="AB15" s="318"/>
      <c r="AC15" s="318">
        <f>20535+40794+17160+63763+1253211+14664+386117+761246+24095</f>
        <v>2581585</v>
      </c>
      <c r="AD15" s="318">
        <v>122264.75</v>
      </c>
      <c r="AE15" s="318">
        <v>30000</v>
      </c>
      <c r="AF15" s="318">
        <f>144000+386162+295882+780</f>
        <v>826824</v>
      </c>
      <c r="AG15" s="437">
        <v>165119</v>
      </c>
      <c r="AH15" s="999"/>
      <c r="AI15" s="547">
        <f t="shared" si="1"/>
        <v>107470.94498758209</v>
      </c>
      <c r="AJ15" s="564">
        <f>$AH$14*AK15/SUM($AK$14:$AK$15)+AI15</f>
        <v>290551.82968996337</v>
      </c>
      <c r="AK15" s="309">
        <f t="shared" si="5"/>
        <v>148733</v>
      </c>
      <c r="AL15" s="340"/>
      <c r="AM15" s="340"/>
      <c r="AN15" s="340"/>
      <c r="AO15" s="340"/>
      <c r="AP15" s="340"/>
      <c r="AQ15" s="340">
        <v>148733</v>
      </c>
      <c r="AR15" s="240"/>
      <c r="AS15" s="995"/>
      <c r="AT15" s="555">
        <f>$AS$14*AU15/SUM($AU$14:$AU$15)</f>
        <v>1683095.5259975817</v>
      </c>
      <c r="AU15" s="309">
        <f t="shared" si="2"/>
        <v>1270000</v>
      </c>
      <c r="AV15" s="318">
        <v>10000</v>
      </c>
      <c r="AW15" s="318"/>
      <c r="AX15" s="318"/>
      <c r="AY15" s="318"/>
      <c r="AZ15" s="318">
        <v>100000</v>
      </c>
      <c r="BA15" s="318"/>
      <c r="BB15" s="318">
        <f>50000</f>
        <v>50000</v>
      </c>
      <c r="BC15" s="318">
        <v>200000</v>
      </c>
      <c r="BD15" s="318">
        <v>35000</v>
      </c>
      <c r="BE15" s="318"/>
      <c r="BF15" s="318">
        <v>65000</v>
      </c>
      <c r="BG15" s="438">
        <f>310000+500000</f>
        <v>810000</v>
      </c>
      <c r="BH15" s="573">
        <f t="shared" si="6"/>
        <v>177000</v>
      </c>
      <c r="BI15" s="547">
        <f t="shared" si="3"/>
        <v>131637.66175814369</v>
      </c>
      <c r="BJ15" s="564">
        <f t="shared" si="7"/>
        <v>308637.66175814369</v>
      </c>
      <c r="BK15" s="354">
        <f t="shared" si="8"/>
        <v>177000</v>
      </c>
      <c r="BL15" s="349"/>
      <c r="BM15" s="340"/>
      <c r="BN15" s="340"/>
      <c r="BO15" s="340"/>
      <c r="BP15" s="340"/>
      <c r="BQ15" s="340">
        <v>177000</v>
      </c>
      <c r="BR15" s="240"/>
      <c r="BS15" s="599">
        <f t="shared" si="9"/>
        <v>0.4500000000000004</v>
      </c>
      <c r="BT15" s="329" t="s">
        <v>461</v>
      </c>
      <c r="BU15" s="480" t="s">
        <v>462</v>
      </c>
      <c r="BV15" s="474" t="s">
        <v>463</v>
      </c>
      <c r="BW15" s="283" t="s">
        <v>464</v>
      </c>
    </row>
    <row r="16" spans="1:75" s="194" customFormat="1" ht="45" x14ac:dyDescent="0.25">
      <c r="A16" s="276" t="s">
        <v>66</v>
      </c>
      <c r="B16" s="304">
        <v>1510</v>
      </c>
      <c r="C16" s="297">
        <v>510</v>
      </c>
      <c r="D16" s="298" t="s">
        <v>67</v>
      </c>
      <c r="E16" s="524">
        <v>31</v>
      </c>
      <c r="F16" s="525">
        <v>40</v>
      </c>
      <c r="G16" s="490">
        <v>1500000</v>
      </c>
      <c r="H16" s="526">
        <v>0.19999999999999998</v>
      </c>
      <c r="I16" s="527">
        <v>0.25</v>
      </c>
      <c r="J16" s="527">
        <v>0.25</v>
      </c>
      <c r="K16" s="527">
        <v>0.19999999999999998</v>
      </c>
      <c r="L16" s="528">
        <v>9.9999999999999992E-2</v>
      </c>
      <c r="M16" s="526">
        <v>0.44999999999999996</v>
      </c>
      <c r="N16" s="527">
        <v>0.35</v>
      </c>
      <c r="O16" s="527">
        <v>9.9999999999999992E-2</v>
      </c>
      <c r="P16" s="527">
        <v>9.9999999999999992E-2</v>
      </c>
      <c r="Q16" s="528">
        <v>0</v>
      </c>
      <c r="R16" s="1003">
        <f>336557.02+76215.78+32570.05</f>
        <v>445342.85000000003</v>
      </c>
      <c r="S16" s="580">
        <f>$R$16*T16/SUM($T$16:$T$17)</f>
        <v>94850.634767171141</v>
      </c>
      <c r="T16" s="307">
        <f t="shared" si="0"/>
        <v>70322.28</v>
      </c>
      <c r="U16" s="314"/>
      <c r="V16" s="314"/>
      <c r="W16" s="314"/>
      <c r="X16" s="314"/>
      <c r="Y16" s="314"/>
      <c r="Z16" s="314"/>
      <c r="AA16" s="314"/>
      <c r="AB16" s="314"/>
      <c r="AC16" s="314"/>
      <c r="AD16" s="314">
        <v>15322.28</v>
      </c>
      <c r="AE16" s="314">
        <v>55000</v>
      </c>
      <c r="AF16" s="314"/>
      <c r="AG16" s="434"/>
      <c r="AH16" s="998">
        <v>58427.94</v>
      </c>
      <c r="AI16" s="544">
        <f t="shared" si="1"/>
        <v>28288.863239925497</v>
      </c>
      <c r="AJ16" s="562">
        <f>$AH$16*AK16/SUM($AK$16:$AK$17)+AI16</f>
        <v>68497.934431192698</v>
      </c>
      <c r="AK16" s="307">
        <f t="shared" si="5"/>
        <v>39150</v>
      </c>
      <c r="AL16" s="336"/>
      <c r="AM16" s="336"/>
      <c r="AN16" s="336"/>
      <c r="AO16" s="336"/>
      <c r="AP16" s="336"/>
      <c r="AQ16" s="336">
        <v>39150</v>
      </c>
      <c r="AR16" s="201"/>
      <c r="AS16" s="994">
        <v>313500</v>
      </c>
      <c r="AT16" s="550">
        <f>$AS$16*AU16/SUM($AU$16:$AU$17)</f>
        <v>129088.23529411765</v>
      </c>
      <c r="AU16" s="307">
        <f t="shared" si="2"/>
        <v>140000</v>
      </c>
      <c r="AV16" s="314"/>
      <c r="AW16" s="314"/>
      <c r="AX16" s="314"/>
      <c r="AY16" s="314"/>
      <c r="AZ16" s="314"/>
      <c r="BA16" s="314">
        <v>10000</v>
      </c>
      <c r="BB16" s="314"/>
      <c r="BC16" s="314">
        <v>100000</v>
      </c>
      <c r="BD16" s="314">
        <v>30000</v>
      </c>
      <c r="BE16" s="314"/>
      <c r="BF16" s="314"/>
      <c r="BG16" s="434"/>
      <c r="BH16" s="571">
        <f t="shared" si="6"/>
        <v>165000</v>
      </c>
      <c r="BI16" s="544">
        <f t="shared" si="3"/>
        <v>122713.07452030343</v>
      </c>
      <c r="BJ16" s="562">
        <f t="shared" si="7"/>
        <v>287713.0745203034</v>
      </c>
      <c r="BK16" s="352">
        <f t="shared" si="8"/>
        <v>165000</v>
      </c>
      <c r="BL16" s="345"/>
      <c r="BM16" s="336"/>
      <c r="BN16" s="336"/>
      <c r="BO16" s="336"/>
      <c r="BP16" s="336"/>
      <c r="BQ16" s="336">
        <v>165000</v>
      </c>
      <c r="BR16" s="201"/>
      <c r="BS16" s="597">
        <f t="shared" si="9"/>
        <v>0.90000000000000013</v>
      </c>
      <c r="BT16" s="327" t="s">
        <v>458</v>
      </c>
      <c r="BU16" s="460" t="s">
        <v>351</v>
      </c>
      <c r="BV16" s="484" t="s">
        <v>465</v>
      </c>
      <c r="BW16" s="282" t="s">
        <v>466</v>
      </c>
    </row>
    <row r="17" spans="1:75" s="194" customFormat="1" ht="39.75" customHeight="1" thickBot="1" x14ac:dyDescent="0.3">
      <c r="A17" s="277" t="s">
        <v>66</v>
      </c>
      <c r="B17" s="302">
        <v>1520</v>
      </c>
      <c r="C17" s="300">
        <v>599</v>
      </c>
      <c r="D17" s="305" t="s">
        <v>70</v>
      </c>
      <c r="E17" s="529">
        <v>31</v>
      </c>
      <c r="F17" s="530">
        <v>40</v>
      </c>
      <c r="G17" s="492">
        <v>1500000</v>
      </c>
      <c r="H17" s="531">
        <v>0.19999999999999998</v>
      </c>
      <c r="I17" s="532">
        <v>0.25</v>
      </c>
      <c r="J17" s="532">
        <v>0.25</v>
      </c>
      <c r="K17" s="532">
        <v>0.19999999999999998</v>
      </c>
      <c r="L17" s="533">
        <v>9.9999999999999992E-2</v>
      </c>
      <c r="M17" s="513">
        <v>0.5</v>
      </c>
      <c r="N17" s="514">
        <v>0.3</v>
      </c>
      <c r="O17" s="514">
        <v>0.15</v>
      </c>
      <c r="P17" s="514">
        <v>4.9999999999999996E-2</v>
      </c>
      <c r="Q17" s="515">
        <v>0</v>
      </c>
      <c r="R17" s="1004"/>
      <c r="S17" s="588">
        <f>$R$16*T17/SUM($T$16:$T$17)</f>
        <v>350492.21523282886</v>
      </c>
      <c r="T17" s="309">
        <f t="shared" si="0"/>
        <v>259855</v>
      </c>
      <c r="U17" s="316"/>
      <c r="V17" s="316"/>
      <c r="W17" s="316"/>
      <c r="X17" s="316"/>
      <c r="Y17" s="316"/>
      <c r="Z17" s="316"/>
      <c r="AA17" s="316"/>
      <c r="AB17" s="316"/>
      <c r="AC17" s="316">
        <f>8679+251176</f>
        <v>259855</v>
      </c>
      <c r="AD17" s="316"/>
      <c r="AE17" s="316"/>
      <c r="AF17" s="316"/>
      <c r="AG17" s="436"/>
      <c r="AH17" s="999"/>
      <c r="AI17" s="547">
        <f t="shared" si="1"/>
        <v>12817.781481814518</v>
      </c>
      <c r="AJ17" s="564">
        <f>$AH$16*AK17/SUM($AK$16:$AK$17)+AI17</f>
        <v>31036.650290547317</v>
      </c>
      <c r="AK17" s="309">
        <f t="shared" si="5"/>
        <v>17739</v>
      </c>
      <c r="AL17" s="338"/>
      <c r="AM17" s="338"/>
      <c r="AN17" s="338"/>
      <c r="AO17" s="338"/>
      <c r="AP17" s="338"/>
      <c r="AQ17" s="338">
        <v>17739</v>
      </c>
      <c r="AR17" s="219"/>
      <c r="AS17" s="995"/>
      <c r="AT17" s="555">
        <f>$AS$16*AU17/SUM($AU$16:$AU$17)</f>
        <v>184411.76470588235</v>
      </c>
      <c r="AU17" s="309">
        <f t="shared" si="2"/>
        <v>200000</v>
      </c>
      <c r="AV17" s="316"/>
      <c r="AW17" s="316"/>
      <c r="AX17" s="316"/>
      <c r="AY17" s="316"/>
      <c r="AZ17" s="316"/>
      <c r="BA17" s="316"/>
      <c r="BB17" s="316">
        <v>200000</v>
      </c>
      <c r="BC17" s="316"/>
      <c r="BD17" s="316"/>
      <c r="BE17" s="316"/>
      <c r="BF17" s="316"/>
      <c r="BG17" s="436"/>
      <c r="BH17" s="573">
        <f t="shared" si="6"/>
        <v>20000</v>
      </c>
      <c r="BI17" s="547">
        <f t="shared" si="3"/>
        <v>14874.312063067084</v>
      </c>
      <c r="BJ17" s="564">
        <f t="shared" si="7"/>
        <v>34874.312063067082</v>
      </c>
      <c r="BK17" s="354">
        <f t="shared" si="8"/>
        <v>20000</v>
      </c>
      <c r="BL17" s="347"/>
      <c r="BM17" s="338"/>
      <c r="BN17" s="338"/>
      <c r="BO17" s="338"/>
      <c r="BP17" s="338"/>
      <c r="BQ17" s="338">
        <v>20000</v>
      </c>
      <c r="BR17" s="219"/>
      <c r="BS17" s="599">
        <f t="shared" si="9"/>
        <v>1</v>
      </c>
      <c r="BT17" s="323" t="s">
        <v>467</v>
      </c>
      <c r="BU17" s="461" t="s">
        <v>353</v>
      </c>
      <c r="BV17" s="474" t="s">
        <v>465</v>
      </c>
      <c r="BW17" s="356"/>
    </row>
    <row r="18" spans="1:75" s="194" customFormat="1" ht="50.25" customHeight="1" x14ac:dyDescent="0.25">
      <c r="A18" s="195" t="s">
        <v>72</v>
      </c>
      <c r="B18" s="297">
        <v>1610</v>
      </c>
      <c r="C18" s="297">
        <v>610</v>
      </c>
      <c r="D18" s="298" t="s">
        <v>73</v>
      </c>
      <c r="E18" s="365">
        <v>0.9</v>
      </c>
      <c r="F18" s="366">
        <v>6.83</v>
      </c>
      <c r="G18" s="490">
        <v>40000000</v>
      </c>
      <c r="H18" s="394">
        <v>0.17</v>
      </c>
      <c r="I18" s="395">
        <v>0</v>
      </c>
      <c r="J18" s="395">
        <v>0</v>
      </c>
      <c r="K18" s="395">
        <v>0.83</v>
      </c>
      <c r="L18" s="396">
        <v>0</v>
      </c>
      <c r="M18" s="398">
        <v>0.5</v>
      </c>
      <c r="N18" s="399">
        <v>0.3</v>
      </c>
      <c r="O18" s="399">
        <v>0.15</v>
      </c>
      <c r="P18" s="399">
        <v>4.9999999999999996E-2</v>
      </c>
      <c r="Q18" s="400">
        <v>0</v>
      </c>
      <c r="R18" s="1003">
        <f>4184087.16+388737.87+27072.52</f>
        <v>4599897.55</v>
      </c>
      <c r="S18" s="580">
        <f>$R$18*T18/SUM($T$18:$T$19)</f>
        <v>1071097.3578490263</v>
      </c>
      <c r="T18" s="307">
        <f t="shared" si="0"/>
        <v>1188619.52</v>
      </c>
      <c r="U18" s="317"/>
      <c r="V18" s="317"/>
      <c r="W18" s="317"/>
      <c r="X18" s="317"/>
      <c r="Y18" s="317"/>
      <c r="Z18" s="317">
        <v>100000</v>
      </c>
      <c r="AA18" s="317"/>
      <c r="AB18" s="317"/>
      <c r="AC18" s="317"/>
      <c r="AD18" s="317">
        <v>667999.97</v>
      </c>
      <c r="AE18" s="317">
        <v>420619.55</v>
      </c>
      <c r="AF18" s="317"/>
      <c r="AG18" s="437"/>
      <c r="AH18" s="998">
        <v>173519.54</v>
      </c>
      <c r="AI18" s="544">
        <f t="shared" si="1"/>
        <v>22038.578003007089</v>
      </c>
      <c r="AJ18" s="562">
        <f>$AH$18*AK18/SUM($AK$18:$AK$19)+AI18</f>
        <v>47918.020399095112</v>
      </c>
      <c r="AK18" s="307">
        <f t="shared" si="5"/>
        <v>30500</v>
      </c>
      <c r="AL18" s="339"/>
      <c r="AM18" s="339"/>
      <c r="AN18" s="339"/>
      <c r="AO18" s="339"/>
      <c r="AP18" s="339">
        <v>30500</v>
      </c>
      <c r="AQ18" s="336"/>
      <c r="AR18" s="228"/>
      <c r="AS18" s="994">
        <v>1431250</v>
      </c>
      <c r="AT18" s="550">
        <f>$AS$18*AU18/SUM($AU$18:$AU$19)</f>
        <v>290171.23287671234</v>
      </c>
      <c r="AU18" s="307">
        <f t="shared" si="2"/>
        <v>370000</v>
      </c>
      <c r="AV18" s="317"/>
      <c r="AW18" s="317"/>
      <c r="AX18" s="317"/>
      <c r="AY18" s="317"/>
      <c r="AZ18" s="317">
        <v>110000</v>
      </c>
      <c r="BA18" s="317">
        <v>10000</v>
      </c>
      <c r="BB18" s="317"/>
      <c r="BC18" s="317"/>
      <c r="BD18" s="317">
        <v>250000</v>
      </c>
      <c r="BE18" s="317"/>
      <c r="BF18" s="317"/>
      <c r="BG18" s="437"/>
      <c r="BH18" s="571">
        <f t="shared" si="6"/>
        <v>30000</v>
      </c>
      <c r="BI18" s="544">
        <f t="shared" si="3"/>
        <v>22311.468094600623</v>
      </c>
      <c r="BJ18" s="562">
        <f t="shared" si="7"/>
        <v>52311.468094600627</v>
      </c>
      <c r="BK18" s="352">
        <f t="shared" si="8"/>
        <v>30000</v>
      </c>
      <c r="BL18" s="348"/>
      <c r="BM18" s="339"/>
      <c r="BN18" s="339"/>
      <c r="BO18" s="339"/>
      <c r="BP18" s="339">
        <v>30000</v>
      </c>
      <c r="BQ18" s="339"/>
      <c r="BR18" s="228"/>
      <c r="BS18" s="597">
        <f t="shared" si="9"/>
        <v>1.7399999999999998</v>
      </c>
      <c r="BT18" s="324" t="s">
        <v>468</v>
      </c>
      <c r="BU18" s="462" t="s">
        <v>469</v>
      </c>
      <c r="BV18" s="484" t="s">
        <v>25</v>
      </c>
      <c r="BW18" s="282" t="s">
        <v>466</v>
      </c>
    </row>
    <row r="19" spans="1:75" s="194" customFormat="1" ht="81.75" customHeight="1" thickBot="1" x14ac:dyDescent="0.3">
      <c r="A19" s="213" t="s">
        <v>72</v>
      </c>
      <c r="B19" s="300">
        <v>1620</v>
      </c>
      <c r="C19" s="300">
        <v>699</v>
      </c>
      <c r="D19" s="301" t="s">
        <v>76</v>
      </c>
      <c r="E19" s="367">
        <v>32.5</v>
      </c>
      <c r="F19" s="368">
        <v>70</v>
      </c>
      <c r="G19" s="492">
        <v>10000000</v>
      </c>
      <c r="H19" s="394">
        <v>0.13</v>
      </c>
      <c r="I19" s="395">
        <v>0.77</v>
      </c>
      <c r="J19" s="395">
        <v>7.0000000000000007E-2</v>
      </c>
      <c r="K19" s="395">
        <v>0.03</v>
      </c>
      <c r="L19" s="396">
        <v>0</v>
      </c>
      <c r="M19" s="404">
        <v>0.5</v>
      </c>
      <c r="N19" s="405">
        <v>0.3</v>
      </c>
      <c r="O19" s="405">
        <v>0.15</v>
      </c>
      <c r="P19" s="405">
        <v>4.9999999999999996E-2</v>
      </c>
      <c r="Q19" s="406">
        <v>0</v>
      </c>
      <c r="R19" s="1004"/>
      <c r="S19" s="588">
        <f>$R$18*T19/SUM($T$18:$T$19)</f>
        <v>3528800.1921509732</v>
      </c>
      <c r="T19" s="309">
        <f t="shared" si="0"/>
        <v>3915984.63</v>
      </c>
      <c r="U19" s="318"/>
      <c r="V19" s="318"/>
      <c r="W19" s="318"/>
      <c r="X19" s="318"/>
      <c r="Y19" s="318"/>
      <c r="Z19" s="318"/>
      <c r="AA19" s="318"/>
      <c r="AB19" s="318"/>
      <c r="AC19" s="318">
        <f>34626+114522+22925+163743+35720+115925+2049587+8840+24410</f>
        <v>2570298</v>
      </c>
      <c r="AD19" s="318">
        <v>175843.18</v>
      </c>
      <c r="AE19" s="318">
        <v>1169843.45</v>
      </c>
      <c r="AF19" s="318"/>
      <c r="AG19" s="438"/>
      <c r="AH19" s="999"/>
      <c r="AI19" s="547">
        <f>AI$23*(AK19/AK$23)</f>
        <v>125728.28106633555</v>
      </c>
      <c r="AJ19" s="564">
        <f>$AH$18*AK19/SUM($AK$18:$AK$19)+AI19</f>
        <v>273368.3786702475</v>
      </c>
      <c r="AK19" s="309">
        <f t="shared" si="5"/>
        <v>174000</v>
      </c>
      <c r="AL19" s="340"/>
      <c r="AM19" s="340"/>
      <c r="AN19" s="340"/>
      <c r="AO19" s="340"/>
      <c r="AP19" s="340"/>
      <c r="AQ19" s="338"/>
      <c r="AR19" s="340">
        <v>174000</v>
      </c>
      <c r="AS19" s="995"/>
      <c r="AT19" s="555">
        <f>$AS$18*AU19/SUM($AU$18:$AU$19)</f>
        <v>1141078.7671232878</v>
      </c>
      <c r="AU19" s="309">
        <f t="shared" si="2"/>
        <v>1455000</v>
      </c>
      <c r="AV19" s="318"/>
      <c r="AW19" s="318"/>
      <c r="AX19" s="318"/>
      <c r="AY19" s="318"/>
      <c r="AZ19" s="318"/>
      <c r="BA19" s="318"/>
      <c r="BB19" s="318">
        <v>700000</v>
      </c>
      <c r="BC19" s="318">
        <v>700000</v>
      </c>
      <c r="BD19" s="318">
        <v>55000</v>
      </c>
      <c r="BE19" s="318"/>
      <c r="BF19" s="318"/>
      <c r="BG19" s="438"/>
      <c r="BH19" s="573">
        <f t="shared" si="6"/>
        <v>185000</v>
      </c>
      <c r="BI19" s="547">
        <f t="shared" si="3"/>
        <v>137587.38658337053</v>
      </c>
      <c r="BJ19" s="564">
        <f t="shared" si="7"/>
        <v>322587.38658337051</v>
      </c>
      <c r="BK19" s="354">
        <f t="shared" si="8"/>
        <v>185000</v>
      </c>
      <c r="BL19" s="349"/>
      <c r="BM19" s="340"/>
      <c r="BN19" s="340"/>
      <c r="BO19" s="340"/>
      <c r="BP19" s="340"/>
      <c r="BQ19" s="338"/>
      <c r="BR19" s="240">
        <v>185000</v>
      </c>
      <c r="BS19" s="599">
        <f t="shared" si="9"/>
        <v>0.25</v>
      </c>
      <c r="BT19" s="324" t="s">
        <v>470</v>
      </c>
      <c r="BU19" s="467" t="s">
        <v>435</v>
      </c>
      <c r="BV19" s="474" t="s">
        <v>25</v>
      </c>
      <c r="BW19" s="356" t="s">
        <v>471</v>
      </c>
    </row>
    <row r="20" spans="1:75" s="194" customFormat="1" ht="75.75" customHeight="1" x14ac:dyDescent="0.25">
      <c r="A20" s="195" t="s">
        <v>79</v>
      </c>
      <c r="B20" s="297">
        <v>1710</v>
      </c>
      <c r="C20" s="297">
        <v>710</v>
      </c>
      <c r="D20" s="298" t="s">
        <v>80</v>
      </c>
      <c r="E20" s="365">
        <v>52.59</v>
      </c>
      <c r="F20" s="366">
        <v>40.880000000000003</v>
      </c>
      <c r="G20" s="490">
        <v>7700000</v>
      </c>
      <c r="H20" s="398">
        <v>0.11</v>
      </c>
      <c r="I20" s="399">
        <v>0.06</v>
      </c>
      <c r="J20" s="399">
        <v>0.24</v>
      </c>
      <c r="K20" s="399">
        <v>0.47</v>
      </c>
      <c r="L20" s="400">
        <v>0.12</v>
      </c>
      <c r="M20" s="398">
        <v>0.5</v>
      </c>
      <c r="N20" s="399">
        <v>0.3</v>
      </c>
      <c r="O20" s="399">
        <v>0.15</v>
      </c>
      <c r="P20" s="399">
        <v>4.9999999999999996E-2</v>
      </c>
      <c r="Q20" s="400">
        <v>0</v>
      </c>
      <c r="R20" s="1003">
        <f>1361732.55+51030</f>
        <v>1412762.55</v>
      </c>
      <c r="S20" s="580">
        <f>$R$20*T20/SUM($T$20:$T$21)</f>
        <v>937589.03769808682</v>
      </c>
      <c r="T20" s="307">
        <f t="shared" si="0"/>
        <v>937590</v>
      </c>
      <c r="U20" s="314"/>
      <c r="V20" s="314"/>
      <c r="W20" s="314">
        <v>685657</v>
      </c>
      <c r="X20" s="314"/>
      <c r="Y20" s="314">
        <v>251933</v>
      </c>
      <c r="Z20" s="314"/>
      <c r="AA20" s="314"/>
      <c r="AB20" s="314"/>
      <c r="AC20" s="314"/>
      <c r="AD20" s="314"/>
      <c r="AE20" s="314"/>
      <c r="AF20" s="314"/>
      <c r="AG20" s="434"/>
      <c r="AH20" s="998">
        <v>46183.87</v>
      </c>
      <c r="AI20" s="544">
        <f t="shared" si="1"/>
        <v>6449.7163034374198</v>
      </c>
      <c r="AJ20" s="562">
        <f>$AH$20*AK20/SUM($AK$20:$AK$21)+AI20</f>
        <v>12142.042294029497</v>
      </c>
      <c r="AK20" s="307">
        <f t="shared" si="5"/>
        <v>8926</v>
      </c>
      <c r="AL20" s="336"/>
      <c r="AM20" s="336"/>
      <c r="AN20" s="336">
        <v>8926</v>
      </c>
      <c r="AO20" s="336"/>
      <c r="AP20" s="336"/>
      <c r="AQ20" s="336"/>
      <c r="AR20" s="201"/>
      <c r="AS20" s="994">
        <v>13600</v>
      </c>
      <c r="AT20" s="550">
        <f>$AS$20*AU20/SUM($AU$20:$AU$21)</f>
        <v>13600</v>
      </c>
      <c r="AU20" s="307">
        <f t="shared" si="2"/>
        <v>13600</v>
      </c>
      <c r="AV20" s="314"/>
      <c r="AW20" s="314">
        <v>13600</v>
      </c>
      <c r="AX20" s="314"/>
      <c r="AY20" s="314"/>
      <c r="AZ20" s="314"/>
      <c r="BA20" s="314"/>
      <c r="BB20" s="314"/>
      <c r="BC20" s="314"/>
      <c r="BD20" s="314"/>
      <c r="BE20" s="314"/>
      <c r="BF20" s="314"/>
      <c r="BG20" s="434"/>
      <c r="BH20" s="571">
        <f t="shared" si="6"/>
        <v>25000</v>
      </c>
      <c r="BI20" s="544">
        <f t="shared" si="3"/>
        <v>18592.890078833854</v>
      </c>
      <c r="BJ20" s="562">
        <f t="shared" si="7"/>
        <v>43592.890078833851</v>
      </c>
      <c r="BK20" s="352">
        <f t="shared" si="8"/>
        <v>25000</v>
      </c>
      <c r="BL20" s="345"/>
      <c r="BM20" s="336"/>
      <c r="BN20" s="336">
        <v>25000</v>
      </c>
      <c r="BO20" s="336"/>
      <c r="BP20" s="336"/>
      <c r="BQ20" s="336"/>
      <c r="BR20" s="201"/>
      <c r="BS20" s="597">
        <f t="shared" si="9"/>
        <v>1.6800000000000002</v>
      </c>
      <c r="BT20" s="330" t="s">
        <v>472</v>
      </c>
      <c r="BU20" s="466" t="s">
        <v>473</v>
      </c>
      <c r="BV20" s="484" t="s">
        <v>474</v>
      </c>
      <c r="BW20" s="282" t="s">
        <v>475</v>
      </c>
    </row>
    <row r="21" spans="1:75" s="194" customFormat="1" ht="78.75" customHeight="1" thickBot="1" x14ac:dyDescent="0.3">
      <c r="A21" s="213" t="s">
        <v>79</v>
      </c>
      <c r="B21" s="300">
        <v>1720</v>
      </c>
      <c r="C21" s="300">
        <v>799</v>
      </c>
      <c r="D21" s="301" t="s">
        <v>83</v>
      </c>
      <c r="E21" s="367">
        <v>7.76</v>
      </c>
      <c r="F21" s="368">
        <v>14.4</v>
      </c>
      <c r="G21" s="492">
        <v>2720000</v>
      </c>
      <c r="H21" s="401">
        <v>0.56000000000000005</v>
      </c>
      <c r="I21" s="402">
        <v>0.32</v>
      </c>
      <c r="J21" s="402">
        <v>0.08</v>
      </c>
      <c r="K21" s="402">
        <v>0.04</v>
      </c>
      <c r="L21" s="403">
        <v>0</v>
      </c>
      <c r="M21" s="404">
        <v>0.5</v>
      </c>
      <c r="N21" s="405">
        <v>0.3</v>
      </c>
      <c r="O21" s="405">
        <v>0.15</v>
      </c>
      <c r="P21" s="405">
        <v>4.9999999999999996E-2</v>
      </c>
      <c r="Q21" s="406">
        <v>0</v>
      </c>
      <c r="R21" s="1004"/>
      <c r="S21" s="588">
        <f>$R$20*T21/SUM($T$20:$T$21)</f>
        <v>475173.51230191317</v>
      </c>
      <c r="T21" s="309">
        <f t="shared" si="0"/>
        <v>475174</v>
      </c>
      <c r="U21" s="316"/>
      <c r="V21" s="316"/>
      <c r="W21" s="316"/>
      <c r="X21" s="316">
        <v>475174</v>
      </c>
      <c r="Y21" s="316"/>
      <c r="Z21" s="316"/>
      <c r="AA21" s="316"/>
      <c r="AB21" s="316"/>
      <c r="AC21" s="316"/>
      <c r="AD21" s="316"/>
      <c r="AE21" s="316"/>
      <c r="AF21" s="316"/>
      <c r="AG21" s="436"/>
      <c r="AH21" s="999"/>
      <c r="AI21" s="547">
        <f t="shared" si="1"/>
        <v>45879.131304225957</v>
      </c>
      <c r="AJ21" s="564">
        <f>$AH$20*AK21/SUM($AK$20:$AK$21)+AI21</f>
        <v>86370.675313633867</v>
      </c>
      <c r="AK21" s="309">
        <f t="shared" si="5"/>
        <v>63493.82</v>
      </c>
      <c r="AL21" s="338"/>
      <c r="AM21" s="338"/>
      <c r="AN21" s="338">
        <v>63493.82</v>
      </c>
      <c r="AO21" s="338"/>
      <c r="AP21" s="338"/>
      <c r="AQ21" s="338"/>
      <c r="AR21" s="219"/>
      <c r="AS21" s="995"/>
      <c r="AT21" s="555">
        <f>$AS$20*AU21/SUM($AU$20:$AU$21)</f>
        <v>0</v>
      </c>
      <c r="AU21" s="309">
        <f t="shared" si="2"/>
        <v>0</v>
      </c>
      <c r="AV21" s="316"/>
      <c r="AW21" s="316"/>
      <c r="AX21" s="316"/>
      <c r="AY21" s="316"/>
      <c r="AZ21" s="316"/>
      <c r="BA21" s="316"/>
      <c r="BB21" s="316"/>
      <c r="BC21" s="316"/>
      <c r="BD21" s="316"/>
      <c r="BE21" s="316"/>
      <c r="BF21" s="316"/>
      <c r="BG21" s="436"/>
      <c r="BH21" s="573">
        <f t="shared" si="6"/>
        <v>115000</v>
      </c>
      <c r="BI21" s="547">
        <f t="shared" si="3"/>
        <v>85527.29436263573</v>
      </c>
      <c r="BJ21" s="564">
        <f t="shared" si="7"/>
        <v>200527.29436263573</v>
      </c>
      <c r="BK21" s="354">
        <f t="shared" si="8"/>
        <v>115000</v>
      </c>
      <c r="BL21" s="347"/>
      <c r="BM21" s="338"/>
      <c r="BN21" s="338">
        <v>115000</v>
      </c>
      <c r="BO21" s="338"/>
      <c r="BP21" s="338"/>
      <c r="BQ21" s="338"/>
      <c r="BR21" s="219"/>
      <c r="BS21" s="599">
        <f t="shared" si="9"/>
        <v>-0.14999999999999991</v>
      </c>
      <c r="BT21" s="331" t="s">
        <v>476</v>
      </c>
      <c r="BU21" s="468" t="s">
        <v>435</v>
      </c>
      <c r="BV21" s="474" t="s">
        <v>25</v>
      </c>
      <c r="BW21" s="356" t="s">
        <v>477</v>
      </c>
    </row>
    <row r="22" spans="1:75" s="194" customFormat="1" ht="30.75" thickBot="1" x14ac:dyDescent="0.3">
      <c r="A22" s="185" t="s">
        <v>86</v>
      </c>
      <c r="B22" s="295">
        <v>1810</v>
      </c>
      <c r="C22" s="295">
        <v>899</v>
      </c>
      <c r="D22" s="296" t="s">
        <v>87</v>
      </c>
      <c r="E22" s="511">
        <v>12</v>
      </c>
      <c r="F22" s="512">
        <v>20</v>
      </c>
      <c r="G22" s="493">
        <v>2100000</v>
      </c>
      <c r="H22" s="513">
        <v>0.3</v>
      </c>
      <c r="I22" s="514">
        <v>0.39999999999999997</v>
      </c>
      <c r="J22" s="514">
        <v>0.19999999999999998</v>
      </c>
      <c r="K22" s="514">
        <v>9.9999999999999992E-2</v>
      </c>
      <c r="L22" s="515">
        <v>0</v>
      </c>
      <c r="M22" s="516">
        <v>0.5</v>
      </c>
      <c r="N22" s="517">
        <v>0.3</v>
      </c>
      <c r="O22" s="517">
        <v>0.19999999999999998</v>
      </c>
      <c r="P22" s="517">
        <v>0</v>
      </c>
      <c r="Q22" s="518">
        <v>0</v>
      </c>
      <c r="R22" s="579">
        <f>107000.96+62527.5+1000-0.93</f>
        <v>170527.53000000003</v>
      </c>
      <c r="S22" s="580">
        <f>R22</f>
        <v>170527.53000000003</v>
      </c>
      <c r="T22" s="306">
        <f t="shared" si="0"/>
        <v>48620</v>
      </c>
      <c r="U22" s="319">
        <v>48620</v>
      </c>
      <c r="V22" s="319"/>
      <c r="W22" s="319"/>
      <c r="X22" s="319"/>
      <c r="Y22" s="319"/>
      <c r="Z22" s="319"/>
      <c r="AA22" s="319"/>
      <c r="AB22" s="319"/>
      <c r="AC22" s="319"/>
      <c r="AD22" s="319"/>
      <c r="AE22" s="319"/>
      <c r="AF22" s="319"/>
      <c r="AG22" s="440"/>
      <c r="AH22" s="565">
        <v>236357.27</v>
      </c>
      <c r="AI22" s="566">
        <f t="shared" si="1"/>
        <v>173992.93308547651</v>
      </c>
      <c r="AJ22" s="563">
        <f>AH22+AI22</f>
        <v>410350.20308547653</v>
      </c>
      <c r="AK22" s="306">
        <f t="shared" si="5"/>
        <v>240795.23</v>
      </c>
      <c r="AL22" s="341">
        <f>71225.08+13978.75+28000+77000</f>
        <v>190203.83000000002</v>
      </c>
      <c r="AM22" s="341"/>
      <c r="AN22" s="341"/>
      <c r="AO22" s="341"/>
      <c r="AP22" s="341">
        <v>33574.9</v>
      </c>
      <c r="AQ22" s="341">
        <v>17016.5</v>
      </c>
      <c r="AR22" s="342"/>
      <c r="AS22" s="538">
        <v>398250</v>
      </c>
      <c r="AT22" s="550">
        <f>AS22</f>
        <v>398250</v>
      </c>
      <c r="AU22" s="306">
        <f t="shared" si="2"/>
        <v>120000</v>
      </c>
      <c r="AV22" s="319">
        <v>20000</v>
      </c>
      <c r="AW22" s="319"/>
      <c r="AX22" s="319"/>
      <c r="AY22" s="319"/>
      <c r="AZ22" s="319"/>
      <c r="BA22" s="319"/>
      <c r="BB22" s="319"/>
      <c r="BC22" s="319"/>
      <c r="BD22" s="319"/>
      <c r="BE22" s="319">
        <v>100000</v>
      </c>
      <c r="BF22" s="319"/>
      <c r="BG22" s="440"/>
      <c r="BH22" s="565">
        <f>BK22</f>
        <v>0</v>
      </c>
      <c r="BI22" s="566">
        <f t="shared" si="3"/>
        <v>0</v>
      </c>
      <c r="BJ22" s="563">
        <f t="shared" si="7"/>
        <v>0</v>
      </c>
      <c r="BK22" s="351">
        <f t="shared" si="8"/>
        <v>0</v>
      </c>
      <c r="BL22" s="355"/>
      <c r="BM22" s="341"/>
      <c r="BN22" s="341"/>
      <c r="BO22" s="341"/>
      <c r="BP22" s="341"/>
      <c r="BQ22" s="338"/>
      <c r="BR22" s="342"/>
      <c r="BS22" s="596">
        <f t="shared" si="9"/>
        <v>0.39999999999999947</v>
      </c>
      <c r="BT22" s="332"/>
      <c r="BU22" s="721" t="s">
        <v>478</v>
      </c>
      <c r="BV22" s="594" t="s">
        <v>25</v>
      </c>
      <c r="BW22" s="595" t="s">
        <v>479</v>
      </c>
    </row>
    <row r="23" spans="1:75" s="262" customFormat="1" ht="19.5" thickBot="1" x14ac:dyDescent="0.3">
      <c r="A23" s="261"/>
      <c r="B23" s="261"/>
      <c r="C23" s="261"/>
      <c r="D23" s="261"/>
      <c r="G23" s="263">
        <f>SUM(G3:G22)</f>
        <v>496613134</v>
      </c>
      <c r="H23" s="1000">
        <f>SUM(H3:L22)</f>
        <v>19.999999999999986</v>
      </c>
      <c r="I23" s="1001"/>
      <c r="J23" s="1001"/>
      <c r="K23" s="1001"/>
      <c r="L23" s="1002"/>
      <c r="M23" s="1000">
        <f>SUM(M3:Q22)</f>
        <v>20</v>
      </c>
      <c r="N23" s="1001"/>
      <c r="O23" s="1001"/>
      <c r="P23" s="1001"/>
      <c r="Q23" s="1002"/>
      <c r="R23" s="589">
        <f>SUM(R3:R22)</f>
        <v>22399232.190000001</v>
      </c>
      <c r="S23" s="590">
        <f>SUM(S3:S22)</f>
        <v>22399232.190000001</v>
      </c>
      <c r="T23" s="334">
        <f>SUM(T3:T22)</f>
        <v>22026252.559999999</v>
      </c>
      <c r="U23" s="267">
        <f t="shared" ref="U23:AG23" si="14">SUM(U3:U22)</f>
        <v>1742028</v>
      </c>
      <c r="V23" s="267">
        <f t="shared" si="14"/>
        <v>0</v>
      </c>
      <c r="W23" s="267">
        <f t="shared" si="14"/>
        <v>685657</v>
      </c>
      <c r="X23" s="267">
        <f t="shared" si="14"/>
        <v>475174</v>
      </c>
      <c r="Y23" s="267">
        <f t="shared" si="14"/>
        <v>251933</v>
      </c>
      <c r="Z23" s="267">
        <f t="shared" si="14"/>
        <v>209291</v>
      </c>
      <c r="AA23" s="267">
        <f t="shared" si="14"/>
        <v>0</v>
      </c>
      <c r="AB23" s="267">
        <f t="shared" si="14"/>
        <v>117178</v>
      </c>
      <c r="AC23" s="267">
        <f t="shared" si="14"/>
        <v>12554120.27</v>
      </c>
      <c r="AD23" s="267">
        <f t="shared" si="14"/>
        <v>2266308.29</v>
      </c>
      <c r="AE23" s="267">
        <f t="shared" si="14"/>
        <v>2497963</v>
      </c>
      <c r="AF23" s="267">
        <f t="shared" si="14"/>
        <v>1061481</v>
      </c>
      <c r="AG23" s="441">
        <f t="shared" si="14"/>
        <v>165119</v>
      </c>
      <c r="AH23" s="567">
        <f>SUM(AH3:AH22)</f>
        <v>2710697.0300000003</v>
      </c>
      <c r="AI23" s="568">
        <v>1978820.11</v>
      </c>
      <c r="AJ23" s="569">
        <f>SUM(AJ3:AJ22)</f>
        <v>4689517.1399999987</v>
      </c>
      <c r="AK23" s="334">
        <f>SUM(AK3:AK22)</f>
        <v>2738562.05</v>
      </c>
      <c r="AL23" s="267">
        <f>SUM(AL3:AL22)</f>
        <v>668203.83000000007</v>
      </c>
      <c r="AM23" s="267">
        <f t="shared" ref="AM23:AR23" si="15">SUM(AM3:AM22)</f>
        <v>0</v>
      </c>
      <c r="AN23" s="267">
        <f t="shared" si="15"/>
        <v>72419.820000000007</v>
      </c>
      <c r="AO23" s="267">
        <f t="shared" si="15"/>
        <v>0</v>
      </c>
      <c r="AP23" s="267">
        <f t="shared" si="15"/>
        <v>942074.9</v>
      </c>
      <c r="AQ23" s="267">
        <f t="shared" si="15"/>
        <v>643863.5</v>
      </c>
      <c r="AR23" s="343">
        <f t="shared" si="15"/>
        <v>412000</v>
      </c>
      <c r="AS23" s="559">
        <f>SUM(AS3:AS22)</f>
        <v>8798600</v>
      </c>
      <c r="AT23" s="548">
        <f>SUM(AT3:AT22)</f>
        <v>8798600</v>
      </c>
      <c r="AU23" s="334">
        <f>SUM(AU3:AU22)</f>
        <v>7858600</v>
      </c>
      <c r="AV23" s="267">
        <f t="shared" ref="AV23:BK23" si="16">SUM(AV3:AV22)</f>
        <v>601000</v>
      </c>
      <c r="AW23" s="267">
        <f t="shared" si="16"/>
        <v>13600</v>
      </c>
      <c r="AX23" s="267">
        <f t="shared" si="16"/>
        <v>0</v>
      </c>
      <c r="AY23" s="267">
        <f t="shared" si="16"/>
        <v>0</v>
      </c>
      <c r="AZ23" s="267">
        <f t="shared" ref="AZ23" si="17">SUM(AZ3:AZ22)</f>
        <v>610000</v>
      </c>
      <c r="BA23" s="267">
        <f t="shared" si="16"/>
        <v>122000</v>
      </c>
      <c r="BB23" s="267">
        <f>SUM(BB3:BB22)</f>
        <v>2300000</v>
      </c>
      <c r="BC23" s="267">
        <f t="shared" si="16"/>
        <v>1845000</v>
      </c>
      <c r="BD23" s="267">
        <f t="shared" si="16"/>
        <v>835000</v>
      </c>
      <c r="BE23" s="267">
        <f t="shared" ref="BE23" si="18">SUM(BE3:BE22)</f>
        <v>100000</v>
      </c>
      <c r="BF23" s="267">
        <f t="shared" si="16"/>
        <v>622000</v>
      </c>
      <c r="BG23" s="441">
        <f t="shared" si="16"/>
        <v>810000</v>
      </c>
      <c r="BH23" s="567">
        <f>SUM(BH3:BH22)</f>
        <v>2689200</v>
      </c>
      <c r="BI23" s="568">
        <v>2000000</v>
      </c>
      <c r="BJ23" s="569">
        <f>SUM(BJ3:BJ22)</f>
        <v>4689200</v>
      </c>
      <c r="BK23" s="266">
        <f t="shared" si="16"/>
        <v>2689200</v>
      </c>
      <c r="BL23" s="350">
        <f>SUM(BL3:BL22)</f>
        <v>218000</v>
      </c>
      <c r="BM23" s="267">
        <f t="shared" ref="BM23" si="19">SUM(BM3:BM22)</f>
        <v>0</v>
      </c>
      <c r="BN23" s="267">
        <f t="shared" ref="BN23:BR23" si="20">SUM(BN3:BN22)</f>
        <v>140000</v>
      </c>
      <c r="BO23" s="267">
        <f t="shared" si="20"/>
        <v>0</v>
      </c>
      <c r="BP23" s="267">
        <f t="shared" si="20"/>
        <v>1055000</v>
      </c>
      <c r="BQ23" s="267">
        <f t="shared" si="20"/>
        <v>839200</v>
      </c>
      <c r="BR23" s="343">
        <f t="shared" si="20"/>
        <v>437000</v>
      </c>
      <c r="BS23" s="601"/>
    </row>
    <row r="24" spans="1:75" ht="15.75" thickBot="1" x14ac:dyDescent="0.3">
      <c r="A24" s="2"/>
      <c r="B24" s="2"/>
      <c r="C24" s="2"/>
      <c r="D24" s="2"/>
      <c r="S24" s="578"/>
      <c r="AI24" s="575"/>
      <c r="AJ24" s="576"/>
    </row>
    <row r="25" spans="1:75" ht="30" customHeight="1" thickBot="1" x14ac:dyDescent="0.3">
      <c r="A25" s="2"/>
      <c r="B25" s="2"/>
      <c r="C25" s="2"/>
      <c r="D25" s="2"/>
      <c r="E25" s="985" t="s">
        <v>88</v>
      </c>
      <c r="F25" s="986"/>
      <c r="G25" s="986"/>
      <c r="H25" s="986"/>
      <c r="I25" s="986"/>
      <c r="J25" s="986"/>
      <c r="K25" s="986"/>
      <c r="L25" s="987"/>
      <c r="M25" s="534"/>
      <c r="N25" s="534"/>
      <c r="O25" s="535"/>
      <c r="Q25" s="577"/>
      <c r="R25" s="996" t="s">
        <v>480</v>
      </c>
      <c r="S25" s="997"/>
      <c r="T25" s="428">
        <f>SUM(U25:AG25)</f>
        <v>22247634</v>
      </c>
      <c r="U25" s="501">
        <f>1772028-30000</f>
        <v>1742028</v>
      </c>
      <c r="V25" s="500">
        <v>0</v>
      </c>
      <c r="W25" s="500">
        <v>685657</v>
      </c>
      <c r="X25" s="500">
        <v>475174</v>
      </c>
      <c r="Y25" s="500">
        <v>251933</v>
      </c>
      <c r="Z25" s="500">
        <v>209291</v>
      </c>
      <c r="AA25" s="500">
        <v>0</v>
      </c>
      <c r="AB25" s="500">
        <v>117179</v>
      </c>
      <c r="AC25" s="500">
        <v>12849462</v>
      </c>
      <c r="AD25" s="500">
        <f>2407225-140917</f>
        <v>2266308</v>
      </c>
      <c r="AE25" s="500">
        <v>2497963</v>
      </c>
      <c r="AF25" s="500">
        <v>987520</v>
      </c>
      <c r="AG25" s="591">
        <v>165119</v>
      </c>
      <c r="AH25" s="570"/>
      <c r="AI25" s="542"/>
      <c r="AJ25" s="542"/>
      <c r="AK25" s="447"/>
      <c r="AL25" s="416"/>
      <c r="AM25" s="416"/>
      <c r="AN25" s="416"/>
      <c r="AO25" s="416"/>
      <c r="AP25" s="416"/>
      <c r="AQ25" s="416"/>
      <c r="AR25" s="416"/>
      <c r="AS25" s="560"/>
      <c r="AT25" s="542"/>
      <c r="AU25" s="428">
        <f>SUM(AV25:BG25)</f>
        <v>8088600</v>
      </c>
      <c r="AV25" s="499">
        <v>601000</v>
      </c>
      <c r="AW25" s="498">
        <v>13600</v>
      </c>
      <c r="AX25" s="498">
        <v>0</v>
      </c>
      <c r="AY25" s="498">
        <v>0</v>
      </c>
      <c r="AZ25" s="498">
        <v>610000</v>
      </c>
      <c r="BA25" s="498">
        <v>122000</v>
      </c>
      <c r="BB25" s="498">
        <f>2740000-210000</f>
        <v>2530000</v>
      </c>
      <c r="BC25" s="498">
        <v>1845000</v>
      </c>
      <c r="BD25" s="498">
        <v>835000</v>
      </c>
      <c r="BE25" s="498">
        <v>100000</v>
      </c>
      <c r="BF25" s="498">
        <v>622000</v>
      </c>
      <c r="BG25" s="592">
        <f>1310000-500000</f>
        <v>810000</v>
      </c>
      <c r="BH25" s="560"/>
      <c r="BI25" s="560"/>
      <c r="BJ25" s="542"/>
      <c r="BK25" s="447"/>
      <c r="BL25" s="416"/>
      <c r="BM25" s="416"/>
      <c r="BN25" s="416"/>
      <c r="BO25" s="416"/>
      <c r="BP25" s="416"/>
      <c r="BQ25" s="416"/>
      <c r="BR25" s="416"/>
      <c r="BS25" s="600"/>
      <c r="BT25" s="600"/>
    </row>
    <row r="26" spans="1:75" ht="15.75" thickBot="1" x14ac:dyDescent="0.3">
      <c r="A26" s="2"/>
      <c r="B26" s="2"/>
      <c r="C26" s="2"/>
      <c r="D26" s="2"/>
      <c r="E26" s="425"/>
      <c r="F26" s="426"/>
      <c r="G26" s="426"/>
      <c r="H26" s="426"/>
      <c r="I26" s="426"/>
      <c r="J26" s="426"/>
      <c r="K26" s="426"/>
      <c r="L26" s="427"/>
    </row>
    <row r="27" spans="1:75" ht="15.75" thickBot="1" x14ac:dyDescent="0.3">
      <c r="A27" s="2"/>
      <c r="B27" s="2"/>
      <c r="C27" s="2"/>
      <c r="D27" s="2"/>
      <c r="E27" s="423"/>
      <c r="F27" s="410"/>
      <c r="G27" s="521" t="s">
        <v>481</v>
      </c>
      <c r="H27" s="421"/>
      <c r="I27" s="421"/>
      <c r="J27" s="421"/>
      <c r="K27" s="421"/>
      <c r="L27" s="422"/>
      <c r="BD27" s="543"/>
    </row>
    <row r="28" spans="1:75" ht="15.75" thickBot="1" x14ac:dyDescent="0.3">
      <c r="A28" s="2"/>
      <c r="B28" s="2"/>
      <c r="C28" s="2"/>
      <c r="D28" s="429"/>
      <c r="E28" s="423"/>
      <c r="F28" s="421"/>
      <c r="G28" s="522"/>
      <c r="H28" s="421"/>
      <c r="I28" s="421"/>
      <c r="J28" s="421"/>
      <c r="K28" s="421"/>
      <c r="L28" s="422"/>
    </row>
    <row r="29" spans="1:75" ht="15.75" thickBot="1" x14ac:dyDescent="0.3">
      <c r="A29" s="2"/>
      <c r="B29" s="2"/>
      <c r="C29" s="2"/>
      <c r="D29" s="429"/>
      <c r="E29" s="423"/>
      <c r="F29" s="134"/>
      <c r="G29" s="523" t="s">
        <v>90</v>
      </c>
      <c r="H29" s="421"/>
      <c r="I29" s="421"/>
      <c r="J29" s="421"/>
      <c r="K29" s="421"/>
      <c r="L29" s="422"/>
    </row>
    <row r="30" spans="1:75" ht="15.75" thickBot="1" x14ac:dyDescent="0.3">
      <c r="A30" s="2"/>
      <c r="B30" s="2"/>
      <c r="C30" s="2"/>
      <c r="D30" s="429"/>
      <c r="E30" s="423"/>
      <c r="F30" s="421"/>
      <c r="G30" s="522"/>
      <c r="H30" s="421"/>
      <c r="I30" s="421"/>
      <c r="J30" s="421"/>
      <c r="K30" s="421"/>
      <c r="L30" s="422"/>
    </row>
    <row r="31" spans="1:75" ht="15.75" thickBot="1" x14ac:dyDescent="0.3">
      <c r="A31" s="2"/>
      <c r="B31" s="2"/>
      <c r="C31" s="2"/>
      <c r="D31" s="429"/>
      <c r="E31" s="423"/>
      <c r="F31" s="135"/>
      <c r="G31" s="523" t="s">
        <v>91</v>
      </c>
      <c r="H31" s="421"/>
      <c r="I31" s="421"/>
      <c r="J31" s="421"/>
      <c r="K31" s="421"/>
      <c r="L31" s="422"/>
    </row>
    <row r="32" spans="1:75" ht="15.75" thickBot="1" x14ac:dyDescent="0.3">
      <c r="A32" s="2"/>
      <c r="B32" s="2"/>
      <c r="C32" s="2"/>
      <c r="D32" s="2"/>
      <c r="E32" s="423"/>
      <c r="F32" s="421"/>
      <c r="G32" s="522"/>
      <c r="H32" s="421"/>
      <c r="I32" s="421"/>
      <c r="J32" s="421"/>
      <c r="K32" s="421"/>
      <c r="L32" s="422"/>
    </row>
    <row r="33" spans="1:12" ht="15.75" thickBot="1" x14ac:dyDescent="0.3">
      <c r="A33" s="2"/>
      <c r="B33" s="2"/>
      <c r="C33" s="2"/>
      <c r="D33" s="2"/>
      <c r="E33" s="423"/>
      <c r="F33" s="519"/>
      <c r="G33" s="520" t="s">
        <v>92</v>
      </c>
      <c r="H33" s="421"/>
      <c r="I33" s="421"/>
      <c r="J33" s="421"/>
      <c r="K33" s="421"/>
      <c r="L33" s="422"/>
    </row>
    <row r="34" spans="1:12" ht="15.75" thickBot="1" x14ac:dyDescent="0.3">
      <c r="A34" s="2"/>
      <c r="B34" s="2"/>
      <c r="C34" s="2"/>
      <c r="D34" s="2"/>
      <c r="E34" s="423"/>
      <c r="F34" s="418"/>
      <c r="G34" s="522"/>
      <c r="H34" s="421"/>
      <c r="I34" s="421"/>
      <c r="J34" s="421"/>
      <c r="K34" s="421"/>
      <c r="L34" s="422"/>
    </row>
    <row r="35" spans="1:12" ht="15.75" thickBot="1" x14ac:dyDescent="0.3">
      <c r="E35" s="423"/>
      <c r="F35" s="494"/>
      <c r="G35" s="523" t="s">
        <v>364</v>
      </c>
      <c r="H35" s="421"/>
      <c r="I35" s="421"/>
      <c r="J35" s="421"/>
      <c r="K35" s="421"/>
      <c r="L35" s="422"/>
    </row>
    <row r="36" spans="1:12" ht="15.75" thickBot="1" x14ac:dyDescent="0.3">
      <c r="E36" s="417"/>
      <c r="F36" s="418"/>
      <c r="G36" s="418"/>
      <c r="H36" s="418"/>
      <c r="I36" s="418"/>
      <c r="J36" s="418"/>
      <c r="K36" s="418"/>
      <c r="L36" s="419"/>
    </row>
  </sheetData>
  <autoFilter ref="A2:BW23" xr:uid="{DC9A807F-C3FB-4A25-BEF3-21A0C99FEFBB}">
    <filterColumn colId="33" showButton="0"/>
    <filterColumn colId="59" showButton="0"/>
  </autoFilter>
  <mergeCells count="36">
    <mergeCell ref="AH10:AH13"/>
    <mergeCell ref="AH14:AH15"/>
    <mergeCell ref="AS10:AS13"/>
    <mergeCell ref="AS14:AS15"/>
    <mergeCell ref="R7:R9"/>
    <mergeCell ref="R10:R13"/>
    <mergeCell ref="R14:R15"/>
    <mergeCell ref="M1:Q1"/>
    <mergeCell ref="R1:AR1"/>
    <mergeCell ref="AS1:BR1"/>
    <mergeCell ref="AH2:AI2"/>
    <mergeCell ref="BH2:BI2"/>
    <mergeCell ref="A1:D1"/>
    <mergeCell ref="E1:E2"/>
    <mergeCell ref="F1:F2"/>
    <mergeCell ref="G1:G2"/>
    <mergeCell ref="H1:L1"/>
    <mergeCell ref="BS1:BS2"/>
    <mergeCell ref="BT1:BV1"/>
    <mergeCell ref="BW1:BW2"/>
    <mergeCell ref="AH7:AH9"/>
    <mergeCell ref="AH4:AH6"/>
    <mergeCell ref="AS7:AS9"/>
    <mergeCell ref="AS20:AS21"/>
    <mergeCell ref="R25:S25"/>
    <mergeCell ref="E25:L25"/>
    <mergeCell ref="AH16:AH17"/>
    <mergeCell ref="AH18:AH19"/>
    <mergeCell ref="AH20:AH21"/>
    <mergeCell ref="H23:L23"/>
    <mergeCell ref="M23:Q23"/>
    <mergeCell ref="R20:R21"/>
    <mergeCell ref="R16:R17"/>
    <mergeCell ref="R18:R19"/>
    <mergeCell ref="AS16:AS17"/>
    <mergeCell ref="AS18:AS19"/>
  </mergeCells>
  <pageMargins left="0.70866141732283472" right="0.70866141732283472" top="0.74803149606299213" bottom="0.74803149606299213" header="0.31496062992125984" footer="0.31496062992125984"/>
  <pageSetup paperSize="8" scale="45" fitToWidth="3" orientation="landscape" r:id="rId1"/>
  <colBreaks count="2" manualBreakCount="2">
    <brk id="17" max="29" man="1"/>
    <brk id="44" max="29" man="1"/>
  </col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6">
    <tabColor rgb="FFFF0000"/>
    <pageSetUpPr fitToPage="1"/>
  </sheetPr>
  <dimension ref="A1:BL34"/>
  <sheetViews>
    <sheetView zoomScale="70" zoomScaleNormal="70" zoomScaleSheetLayoutView="70" workbookViewId="0">
      <pane xSplit="4" ySplit="2" topLeftCell="E8" activePane="bottomRight" state="frozen"/>
      <selection pane="topRight" activeCell="E1" sqref="E1"/>
      <selection pane="bottomLeft" activeCell="A3" sqref="A3"/>
      <selection pane="bottomRight" activeCell="D14" sqref="D14:G15"/>
    </sheetView>
  </sheetViews>
  <sheetFormatPr baseColWidth="10" defaultColWidth="11.42578125" defaultRowHeight="15" outlineLevelCol="1" x14ac:dyDescent="0.25"/>
  <cols>
    <col min="1" max="1" width="27.85546875" style="1" customWidth="1"/>
    <col min="2" max="2" width="12.140625" style="1" customWidth="1"/>
    <col min="3" max="3" width="10.42578125" style="1" bestFit="1" customWidth="1"/>
    <col min="4" max="4" width="30.5703125" style="1" customWidth="1"/>
    <col min="5" max="5" width="8" style="1" bestFit="1" customWidth="1"/>
    <col min="6" max="6" width="10" style="1" customWidth="1"/>
    <col min="7" max="7" width="21.5703125" style="1" bestFit="1" customWidth="1"/>
    <col min="8" max="17" width="6.85546875" style="1" bestFit="1" customWidth="1"/>
    <col min="18" max="18" width="19" style="1" bestFit="1" customWidth="1"/>
    <col min="19" max="29" width="17.5703125" style="1" hidden="1" customWidth="1" outlineLevel="1"/>
    <col min="30" max="30" width="10.85546875" style="1" hidden="1" customWidth="1" outlineLevel="1"/>
    <col min="31" max="31" width="17.5703125" style="1" customWidth="1" collapsed="1"/>
    <col min="32" max="32" width="17.5703125" style="1" bestFit="1" customWidth="1"/>
    <col min="33" max="39" width="17.5703125" style="1" hidden="1" customWidth="1" outlineLevel="1"/>
    <col min="40" max="40" width="19" style="1" bestFit="1" customWidth="1" collapsed="1"/>
    <col min="41" max="46" width="17.5703125" style="1" hidden="1" customWidth="1" outlineLevel="1"/>
    <col min="47" max="47" width="20.85546875" style="1" hidden="1" customWidth="1" outlineLevel="1"/>
    <col min="48" max="48" width="20.7109375" style="1" hidden="1" customWidth="1" outlineLevel="1"/>
    <col min="49" max="49" width="17.5703125" style="1" hidden="1" customWidth="1" outlineLevel="1"/>
    <col min="50" max="50" width="20.7109375" style="1" hidden="1" customWidth="1" outlineLevel="1"/>
    <col min="51" max="51" width="17.5703125" style="1" hidden="1" customWidth="1" outlineLevel="1"/>
    <col min="52" max="52" width="17.5703125" style="1" customWidth="1" collapsed="1"/>
    <col min="53" max="53" width="17.5703125" style="1" bestFit="1" customWidth="1"/>
    <col min="54" max="59" width="17.5703125" style="1" hidden="1" customWidth="1" outlineLevel="1"/>
    <col min="60" max="60" width="16.28515625" style="1" bestFit="1" customWidth="1" collapsed="1"/>
    <col min="61" max="62" width="74.42578125" style="1" customWidth="1"/>
    <col min="63" max="63" width="56.85546875" style="1" bestFit="1" customWidth="1"/>
    <col min="64" max="64" width="106.42578125" style="1" customWidth="1"/>
    <col min="65" max="16384" width="11.42578125" style="1"/>
  </cols>
  <sheetData>
    <row r="1" spans="1:64" ht="54.95" customHeight="1" thickBot="1" x14ac:dyDescent="0.3">
      <c r="A1" s="1007" t="s">
        <v>482</v>
      </c>
      <c r="B1" s="1008"/>
      <c r="C1" s="1008"/>
      <c r="D1" s="1009"/>
      <c r="E1" s="976" t="s">
        <v>0</v>
      </c>
      <c r="F1" s="978" t="s">
        <v>1</v>
      </c>
      <c r="G1" s="980" t="s">
        <v>2</v>
      </c>
      <c r="H1" s="1010" t="s">
        <v>3</v>
      </c>
      <c r="I1" s="1011"/>
      <c r="J1" s="1011"/>
      <c r="K1" s="1011"/>
      <c r="L1" s="1012"/>
      <c r="M1" s="1010" t="s">
        <v>4</v>
      </c>
      <c r="N1" s="1011"/>
      <c r="O1" s="1011"/>
      <c r="P1" s="1011"/>
      <c r="Q1" s="1012"/>
      <c r="R1" s="1026" t="s">
        <v>483</v>
      </c>
      <c r="S1" s="1027"/>
      <c r="T1" s="1027"/>
      <c r="U1" s="1027"/>
      <c r="V1" s="1027"/>
      <c r="W1" s="1027"/>
      <c r="X1" s="1027"/>
      <c r="Y1" s="1027"/>
      <c r="Z1" s="1027"/>
      <c r="AA1" s="1027"/>
      <c r="AB1" s="1027"/>
      <c r="AC1" s="1027"/>
      <c r="AD1" s="1027"/>
      <c r="AE1" s="1027"/>
      <c r="AF1" s="1027"/>
      <c r="AG1" s="1027"/>
      <c r="AH1" s="1027"/>
      <c r="AI1" s="1027"/>
      <c r="AJ1" s="1027"/>
      <c r="AK1" s="1027"/>
      <c r="AL1" s="1027"/>
      <c r="AM1" s="1028"/>
      <c r="AN1" s="1026" t="s">
        <v>484</v>
      </c>
      <c r="AO1" s="1027"/>
      <c r="AP1" s="1027"/>
      <c r="AQ1" s="1027"/>
      <c r="AR1" s="1027"/>
      <c r="AS1" s="1027"/>
      <c r="AT1" s="1027"/>
      <c r="AU1" s="1027"/>
      <c r="AV1" s="1027"/>
      <c r="AW1" s="1027"/>
      <c r="AX1" s="1027"/>
      <c r="AY1" s="1027"/>
      <c r="AZ1" s="1027"/>
      <c r="BA1" s="1027"/>
      <c r="BB1" s="1027"/>
      <c r="BC1" s="1027"/>
      <c r="BD1" s="1027"/>
      <c r="BE1" s="1027"/>
      <c r="BF1" s="1027"/>
      <c r="BG1" s="1028"/>
      <c r="BH1" s="990" t="s">
        <v>5</v>
      </c>
      <c r="BI1" s="1023" t="s">
        <v>485</v>
      </c>
      <c r="BJ1" s="1024"/>
      <c r="BK1" s="1025"/>
      <c r="BL1" s="968" t="s">
        <v>6</v>
      </c>
    </row>
    <row r="2" spans="1:64" s="3" customFormat="1" ht="83.25" customHeight="1" thickBot="1" x14ac:dyDescent="0.3">
      <c r="A2" s="12" t="s">
        <v>291</v>
      </c>
      <c r="B2" s="293" t="s">
        <v>8</v>
      </c>
      <c r="C2" s="293" t="s">
        <v>9</v>
      </c>
      <c r="D2" s="310" t="s">
        <v>10</v>
      </c>
      <c r="E2" s="977"/>
      <c r="F2" s="979"/>
      <c r="G2" s="981"/>
      <c r="H2" s="268" t="s">
        <v>11</v>
      </c>
      <c r="I2" s="269" t="s">
        <v>12</v>
      </c>
      <c r="J2" s="269" t="s">
        <v>13</v>
      </c>
      <c r="K2" s="269" t="s">
        <v>14</v>
      </c>
      <c r="L2" s="270" t="s">
        <v>15</v>
      </c>
      <c r="M2" s="268" t="s">
        <v>11</v>
      </c>
      <c r="N2" s="269" t="s">
        <v>12</v>
      </c>
      <c r="O2" s="269" t="s">
        <v>13</v>
      </c>
      <c r="P2" s="269" t="s">
        <v>14</v>
      </c>
      <c r="Q2" s="270" t="s">
        <v>15</v>
      </c>
      <c r="R2" s="275" t="s">
        <v>431</v>
      </c>
      <c r="S2" s="271" t="s">
        <v>412</v>
      </c>
      <c r="T2" s="271" t="s">
        <v>413</v>
      </c>
      <c r="U2" s="271" t="s">
        <v>414</v>
      </c>
      <c r="V2" s="271" t="s">
        <v>415</v>
      </c>
      <c r="W2" s="271" t="s">
        <v>416</v>
      </c>
      <c r="X2" s="271" t="s">
        <v>418</v>
      </c>
      <c r="Y2" s="271" t="s">
        <v>419</v>
      </c>
      <c r="Z2" s="271" t="s">
        <v>420</v>
      </c>
      <c r="AA2" s="271" t="s">
        <v>421</v>
      </c>
      <c r="AB2" s="271" t="s">
        <v>422</v>
      </c>
      <c r="AC2" s="271" t="s">
        <v>423</v>
      </c>
      <c r="AD2" s="271" t="s">
        <v>424</v>
      </c>
      <c r="AE2" s="443" t="s">
        <v>486</v>
      </c>
      <c r="AF2" s="333" t="s">
        <v>17</v>
      </c>
      <c r="AG2" s="271" t="s">
        <v>412</v>
      </c>
      <c r="AH2" s="415" t="s">
        <v>487</v>
      </c>
      <c r="AI2" s="271" t="s">
        <v>416</v>
      </c>
      <c r="AJ2" s="271" t="s">
        <v>415</v>
      </c>
      <c r="AK2" s="271" t="s">
        <v>429</v>
      </c>
      <c r="AL2" s="271" t="s">
        <v>430</v>
      </c>
      <c r="AM2" s="271" t="s">
        <v>413</v>
      </c>
      <c r="AN2" s="275" t="s">
        <v>431</v>
      </c>
      <c r="AO2" s="271" t="s">
        <v>412</v>
      </c>
      <c r="AP2" s="271" t="s">
        <v>414</v>
      </c>
      <c r="AQ2" s="271" t="s">
        <v>415</v>
      </c>
      <c r="AR2" s="271" t="s">
        <v>416</v>
      </c>
      <c r="AS2" s="271" t="s">
        <v>418</v>
      </c>
      <c r="AT2" s="271" t="s">
        <v>419</v>
      </c>
      <c r="AU2" s="271" t="s">
        <v>420</v>
      </c>
      <c r="AV2" s="271" t="s">
        <v>421</v>
      </c>
      <c r="AW2" s="271" t="s">
        <v>422</v>
      </c>
      <c r="AX2" s="271" t="s">
        <v>423</v>
      </c>
      <c r="AY2" s="271" t="s">
        <v>424</v>
      </c>
      <c r="AZ2" s="443" t="s">
        <v>486</v>
      </c>
      <c r="BA2" s="272" t="s">
        <v>17</v>
      </c>
      <c r="BB2" s="271" t="s">
        <v>412</v>
      </c>
      <c r="BC2" s="271" t="s">
        <v>416</v>
      </c>
      <c r="BD2" s="271" t="s">
        <v>415</v>
      </c>
      <c r="BE2" s="271" t="s">
        <v>429</v>
      </c>
      <c r="BF2" s="271" t="s">
        <v>430</v>
      </c>
      <c r="BG2" s="271" t="s">
        <v>413</v>
      </c>
      <c r="BH2" s="991"/>
      <c r="BI2" s="273" t="s">
        <v>18</v>
      </c>
      <c r="BJ2" s="455" t="s">
        <v>19</v>
      </c>
      <c r="BK2" s="476" t="s">
        <v>20</v>
      </c>
      <c r="BL2" s="969"/>
    </row>
    <row r="3" spans="1:64" s="194" customFormat="1" ht="45.75" thickBot="1" x14ac:dyDescent="0.3">
      <c r="A3" s="185" t="s">
        <v>21</v>
      </c>
      <c r="B3" s="294" t="s">
        <v>22</v>
      </c>
      <c r="C3" s="295">
        <v>99</v>
      </c>
      <c r="D3" s="296" t="s">
        <v>23</v>
      </c>
      <c r="E3" s="361">
        <v>52.75</v>
      </c>
      <c r="F3" s="362">
        <v>76.25</v>
      </c>
      <c r="G3" s="411">
        <v>40500000</v>
      </c>
      <c r="H3" s="375">
        <v>0</v>
      </c>
      <c r="I3" s="376">
        <v>0.5</v>
      </c>
      <c r="J3" s="376">
        <v>0.12</v>
      </c>
      <c r="K3" s="376">
        <v>0.38</v>
      </c>
      <c r="L3" s="377">
        <v>0</v>
      </c>
      <c r="M3" s="375">
        <v>0.44999999999999996</v>
      </c>
      <c r="N3" s="376">
        <v>0.35</v>
      </c>
      <c r="O3" s="376">
        <v>9.9999999999999992E-2</v>
      </c>
      <c r="P3" s="376">
        <v>9.9999999999999992E-2</v>
      </c>
      <c r="Q3" s="377">
        <v>0</v>
      </c>
      <c r="R3" s="186">
        <f t="shared" ref="R3:R22" si="0">SUM(S3:AD3)</f>
        <v>566541.39</v>
      </c>
      <c r="S3" s="313">
        <v>0</v>
      </c>
      <c r="T3" s="313">
        <v>0</v>
      </c>
      <c r="U3" s="313">
        <v>0</v>
      </c>
      <c r="V3" s="313">
        <v>0</v>
      </c>
      <c r="W3" s="313">
        <v>0</v>
      </c>
      <c r="X3" s="313">
        <v>0</v>
      </c>
      <c r="Y3" s="313">
        <v>0</v>
      </c>
      <c r="Z3" s="313">
        <v>537801.39</v>
      </c>
      <c r="AA3" s="313">
        <v>25250</v>
      </c>
      <c r="AB3" s="313">
        <v>0</v>
      </c>
      <c r="AC3" s="313">
        <v>3490</v>
      </c>
      <c r="AD3" s="433">
        <v>0</v>
      </c>
      <c r="AE3" s="444">
        <v>229687.8</v>
      </c>
      <c r="AF3" s="306">
        <f>SUM(AG3:AM3)</f>
        <v>180000</v>
      </c>
      <c r="AG3" s="335">
        <v>0</v>
      </c>
      <c r="AH3" s="335">
        <v>0</v>
      </c>
      <c r="AI3" s="335">
        <v>0</v>
      </c>
      <c r="AJ3" s="335">
        <v>0</v>
      </c>
      <c r="AK3" s="335">
        <v>0</v>
      </c>
      <c r="AL3" s="337">
        <v>0</v>
      </c>
      <c r="AM3" s="190">
        <v>180000</v>
      </c>
      <c r="AN3" s="186">
        <f t="shared" ref="AN3:AN22" si="1">SUM(AO3:AY3)</f>
        <v>530000</v>
      </c>
      <c r="AO3" s="313">
        <v>0</v>
      </c>
      <c r="AP3" s="313">
        <v>0</v>
      </c>
      <c r="AQ3" s="313">
        <v>0</v>
      </c>
      <c r="AR3" s="313">
        <v>0</v>
      </c>
      <c r="AS3" s="313">
        <v>0</v>
      </c>
      <c r="AT3" s="313">
        <v>0</v>
      </c>
      <c r="AU3" s="313">
        <v>500000</v>
      </c>
      <c r="AV3" s="313">
        <v>30000</v>
      </c>
      <c r="AW3" s="313">
        <v>0</v>
      </c>
      <c r="AX3" s="313">
        <v>0</v>
      </c>
      <c r="AY3" s="433">
        <v>0</v>
      </c>
      <c r="AZ3" s="444">
        <v>220000</v>
      </c>
      <c r="BA3" s="351">
        <f>SUM(BB3:BG3)</f>
        <v>220000</v>
      </c>
      <c r="BB3" s="344">
        <v>0</v>
      </c>
      <c r="BC3" s="335">
        <v>0</v>
      </c>
      <c r="BD3" s="335">
        <v>0</v>
      </c>
      <c r="BE3" s="335">
        <v>0</v>
      </c>
      <c r="BF3" s="335">
        <v>0</v>
      </c>
      <c r="BG3" s="190">
        <v>220000</v>
      </c>
      <c r="BH3" s="503">
        <v>0</v>
      </c>
      <c r="BI3" s="320" t="s">
        <v>488</v>
      </c>
      <c r="BJ3" s="459" t="s">
        <v>489</v>
      </c>
      <c r="BK3" s="478" t="s">
        <v>25</v>
      </c>
      <c r="BL3" s="278" t="s">
        <v>490</v>
      </c>
    </row>
    <row r="4" spans="1:64" s="194" customFormat="1" ht="30" x14ac:dyDescent="0.25">
      <c r="A4" s="195" t="s">
        <v>26</v>
      </c>
      <c r="B4" s="297">
        <v>1110</v>
      </c>
      <c r="C4" s="297">
        <v>110</v>
      </c>
      <c r="D4" s="298" t="s">
        <v>27</v>
      </c>
      <c r="E4" s="363">
        <v>42</v>
      </c>
      <c r="F4" s="364">
        <v>100</v>
      </c>
      <c r="G4" s="412">
        <v>4210000</v>
      </c>
      <c r="H4" s="380">
        <v>0</v>
      </c>
      <c r="I4" s="378">
        <v>0.56999999999999995</v>
      </c>
      <c r="J4" s="378">
        <v>0.28999999999999998</v>
      </c>
      <c r="K4" s="378">
        <v>0.14000000000000001</v>
      </c>
      <c r="L4" s="379">
        <v>0</v>
      </c>
      <c r="M4" s="380">
        <v>0.5</v>
      </c>
      <c r="N4" s="378">
        <v>0.3</v>
      </c>
      <c r="O4" s="378">
        <v>0.15</v>
      </c>
      <c r="P4" s="378">
        <v>4.9999999999999996E-2</v>
      </c>
      <c r="Q4" s="381">
        <v>0</v>
      </c>
      <c r="R4" s="199">
        <f t="shared" si="0"/>
        <v>553178.13250000007</v>
      </c>
      <c r="S4" s="314">
        <f>466911.4+45200</f>
        <v>512111.4</v>
      </c>
      <c r="T4" s="314">
        <v>0</v>
      </c>
      <c r="U4" s="314">
        <v>0</v>
      </c>
      <c r="V4" s="314">
        <v>0</v>
      </c>
      <c r="W4" s="314">
        <v>0</v>
      </c>
      <c r="X4" s="314">
        <v>0</v>
      </c>
      <c r="Y4" s="314">
        <v>0</v>
      </c>
      <c r="Z4" s="314">
        <v>0</v>
      </c>
      <c r="AA4" s="314">
        <v>0</v>
      </c>
      <c r="AB4" s="314">
        <v>41066.732499999991</v>
      </c>
      <c r="AC4" s="314">
        <v>0</v>
      </c>
      <c r="AD4" s="434">
        <v>0</v>
      </c>
      <c r="AE4" s="1017">
        <v>562832.97</v>
      </c>
      <c r="AF4" s="307">
        <f t="shared" ref="AF4:AF22" si="2">SUM(AG4:AM4)</f>
        <v>41000</v>
      </c>
      <c r="AG4" s="336">
        <v>41000</v>
      </c>
      <c r="AH4" s="336">
        <v>0</v>
      </c>
      <c r="AI4" s="336">
        <v>0</v>
      </c>
      <c r="AJ4" s="336">
        <v>0</v>
      </c>
      <c r="AK4" s="336">
        <v>0</v>
      </c>
      <c r="AL4" s="336">
        <v>0</v>
      </c>
      <c r="AM4" s="201">
        <v>0</v>
      </c>
      <c r="AN4" s="199">
        <f t="shared" si="1"/>
        <v>144000</v>
      </c>
      <c r="AO4" s="314">
        <v>20000</v>
      </c>
      <c r="AP4" s="314">
        <v>0</v>
      </c>
      <c r="AQ4" s="314">
        <v>0</v>
      </c>
      <c r="AR4" s="314">
        <v>0</v>
      </c>
      <c r="AS4" s="314">
        <v>0</v>
      </c>
      <c r="AT4" s="314">
        <v>0</v>
      </c>
      <c r="AU4" s="314">
        <f t="shared" ref="AU4:AU21" si="3">15020000*Z4/$Z$23</f>
        <v>0</v>
      </c>
      <c r="AV4" s="314">
        <v>0</v>
      </c>
      <c r="AW4" s="314">
        <v>124000</v>
      </c>
      <c r="AX4" s="314">
        <v>0</v>
      </c>
      <c r="AY4" s="434">
        <v>0</v>
      </c>
      <c r="AZ4" s="1017">
        <v>585000</v>
      </c>
      <c r="BA4" s="352">
        <f t="shared" ref="BA4:BA22" si="4">SUM(BB4:BG4)</f>
        <v>15000</v>
      </c>
      <c r="BB4" s="345">
        <v>15000</v>
      </c>
      <c r="BC4" s="336">
        <v>0</v>
      </c>
      <c r="BD4" s="336">
        <v>0</v>
      </c>
      <c r="BE4" s="336">
        <v>0</v>
      </c>
      <c r="BF4" s="336">
        <v>0</v>
      </c>
      <c r="BG4" s="201">
        <v>0</v>
      </c>
      <c r="BH4" s="504">
        <v>0</v>
      </c>
      <c r="BI4" s="321" t="s">
        <v>491</v>
      </c>
      <c r="BJ4" s="460" t="s">
        <v>29</v>
      </c>
      <c r="BK4" s="471" t="s">
        <v>25</v>
      </c>
      <c r="BL4" s="279"/>
    </row>
    <row r="5" spans="1:64" s="194" customFormat="1" ht="30" x14ac:dyDescent="0.25">
      <c r="A5" s="204" t="s">
        <v>26</v>
      </c>
      <c r="B5" s="292">
        <v>1120</v>
      </c>
      <c r="C5" s="292">
        <v>120</v>
      </c>
      <c r="D5" s="299" t="s">
        <v>30</v>
      </c>
      <c r="E5" s="363">
        <v>99.6</v>
      </c>
      <c r="F5" s="364">
        <v>130</v>
      </c>
      <c r="G5" s="413">
        <v>114070000</v>
      </c>
      <c r="H5" s="384">
        <v>0</v>
      </c>
      <c r="I5" s="382">
        <v>0.6</v>
      </c>
      <c r="J5" s="382">
        <v>0.4</v>
      </c>
      <c r="K5" s="382">
        <v>0</v>
      </c>
      <c r="L5" s="383">
        <v>0</v>
      </c>
      <c r="M5" s="384">
        <v>0.5</v>
      </c>
      <c r="N5" s="382">
        <v>0.3</v>
      </c>
      <c r="O5" s="382">
        <v>0.15</v>
      </c>
      <c r="P5" s="382">
        <v>4.9999999999999996E-2</v>
      </c>
      <c r="Q5" s="385">
        <v>0</v>
      </c>
      <c r="R5" s="208">
        <f t="shared" si="0"/>
        <v>97335.82</v>
      </c>
      <c r="S5" s="315">
        <v>97335.82</v>
      </c>
      <c r="T5" s="315">
        <v>0</v>
      </c>
      <c r="U5" s="315">
        <v>0</v>
      </c>
      <c r="V5" s="315">
        <v>0</v>
      </c>
      <c r="W5" s="315">
        <v>0</v>
      </c>
      <c r="X5" s="315">
        <v>0</v>
      </c>
      <c r="Y5" s="315">
        <v>0</v>
      </c>
      <c r="Z5" s="315">
        <v>0</v>
      </c>
      <c r="AA5" s="315">
        <v>0</v>
      </c>
      <c r="AB5" s="315">
        <v>0</v>
      </c>
      <c r="AC5" s="315">
        <v>0</v>
      </c>
      <c r="AD5" s="435">
        <v>0</v>
      </c>
      <c r="AE5" s="1019"/>
      <c r="AF5" s="308">
        <v>12000</v>
      </c>
      <c r="AG5" s="337">
        <v>12000</v>
      </c>
      <c r="AH5" s="337">
        <v>0</v>
      </c>
      <c r="AI5" s="337">
        <v>0</v>
      </c>
      <c r="AJ5" s="337">
        <v>0</v>
      </c>
      <c r="AK5" s="337">
        <v>0</v>
      </c>
      <c r="AL5" s="337">
        <v>0</v>
      </c>
      <c r="AM5" s="210">
        <v>0</v>
      </c>
      <c r="AN5" s="208">
        <f t="shared" si="1"/>
        <v>9000</v>
      </c>
      <c r="AO5" s="315">
        <v>9000</v>
      </c>
      <c r="AP5" s="315">
        <v>0</v>
      </c>
      <c r="AQ5" s="315">
        <v>0</v>
      </c>
      <c r="AR5" s="315">
        <v>0</v>
      </c>
      <c r="AS5" s="315">
        <v>0</v>
      </c>
      <c r="AT5" s="315">
        <v>0</v>
      </c>
      <c r="AU5" s="315">
        <f t="shared" si="3"/>
        <v>0</v>
      </c>
      <c r="AV5" s="315">
        <v>0</v>
      </c>
      <c r="AW5" s="315">
        <v>0</v>
      </c>
      <c r="AX5" s="315">
        <v>0</v>
      </c>
      <c r="AY5" s="435">
        <v>0</v>
      </c>
      <c r="AZ5" s="1019"/>
      <c r="BA5" s="353">
        <f t="shared" si="4"/>
        <v>35000</v>
      </c>
      <c r="BB5" s="346">
        <v>35000</v>
      </c>
      <c r="BC5" s="337">
        <v>0</v>
      </c>
      <c r="BD5" s="337">
        <v>0</v>
      </c>
      <c r="BE5" s="337">
        <v>0</v>
      </c>
      <c r="BF5" s="337">
        <v>0</v>
      </c>
      <c r="BG5" s="210">
        <v>0</v>
      </c>
      <c r="BH5" s="505">
        <v>0</v>
      </c>
      <c r="BI5" s="322" t="s">
        <v>294</v>
      </c>
      <c r="BJ5" s="463" t="s">
        <v>29</v>
      </c>
      <c r="BK5" s="458" t="s">
        <v>25</v>
      </c>
      <c r="BL5" s="280"/>
    </row>
    <row r="6" spans="1:64" s="194" customFormat="1" ht="56.25" customHeight="1" thickBot="1" x14ac:dyDescent="0.3">
      <c r="A6" s="213" t="s">
        <v>26</v>
      </c>
      <c r="B6" s="300">
        <v>1130</v>
      </c>
      <c r="C6" s="300">
        <v>199</v>
      </c>
      <c r="D6" s="301" t="s">
        <v>31</v>
      </c>
      <c r="E6" s="363">
        <v>99.759999999999991</v>
      </c>
      <c r="F6" s="364">
        <v>119.33</v>
      </c>
      <c r="G6" s="414">
        <v>29620000</v>
      </c>
      <c r="H6" s="388">
        <v>0.09</v>
      </c>
      <c r="I6" s="386">
        <v>0.26</v>
      </c>
      <c r="J6" s="386">
        <v>0.39</v>
      </c>
      <c r="K6" s="386">
        <v>0.25</v>
      </c>
      <c r="L6" s="387">
        <v>0.01</v>
      </c>
      <c r="M6" s="388">
        <v>0.5</v>
      </c>
      <c r="N6" s="386">
        <v>0.3</v>
      </c>
      <c r="O6" s="386">
        <v>0.15</v>
      </c>
      <c r="P6" s="386">
        <v>4.9999999999999996E-2</v>
      </c>
      <c r="Q6" s="389">
        <v>0</v>
      </c>
      <c r="R6" s="217">
        <f t="shared" si="0"/>
        <v>1061943.1979999999</v>
      </c>
      <c r="S6" s="316">
        <f>191292.74+118487.06+11837.76+9409.99+9409.99+20076.4+23095.29+36935.57+19935.44+159896.83+44214.64+8935.67+3480.75</f>
        <v>657008.13</v>
      </c>
      <c r="T6" s="316">
        <v>0</v>
      </c>
      <c r="U6" s="316">
        <v>0</v>
      </c>
      <c r="V6" s="316">
        <v>0</v>
      </c>
      <c r="W6" s="316">
        <v>0</v>
      </c>
      <c r="X6" s="316">
        <v>0</v>
      </c>
      <c r="Y6" s="316">
        <v>162599.67999999996</v>
      </c>
      <c r="Z6" s="316">
        <v>28343.420000000002</v>
      </c>
      <c r="AA6" s="316">
        <v>146338.75</v>
      </c>
      <c r="AB6" s="316">
        <v>67653.217999999993</v>
      </c>
      <c r="AC6" s="316">
        <v>0</v>
      </c>
      <c r="AD6" s="436">
        <v>0</v>
      </c>
      <c r="AE6" s="1018"/>
      <c r="AF6" s="309">
        <f t="shared" si="2"/>
        <v>510000</v>
      </c>
      <c r="AG6" s="338">
        <f>563000-41000-12000</f>
        <v>510000</v>
      </c>
      <c r="AH6" s="338">
        <v>0</v>
      </c>
      <c r="AI6" s="338">
        <v>0</v>
      </c>
      <c r="AJ6" s="338">
        <v>0</v>
      </c>
      <c r="AK6" s="338">
        <v>0</v>
      </c>
      <c r="AL6" s="338">
        <v>0</v>
      </c>
      <c r="AM6" s="219">
        <v>0</v>
      </c>
      <c r="AN6" s="217">
        <f t="shared" si="1"/>
        <v>2182750</v>
      </c>
      <c r="AO6" s="316">
        <v>1493000</v>
      </c>
      <c r="AP6" s="316">
        <v>0</v>
      </c>
      <c r="AQ6" s="316">
        <v>0</v>
      </c>
      <c r="AR6" s="316">
        <v>0</v>
      </c>
      <c r="AS6" s="316">
        <v>0</v>
      </c>
      <c r="AT6" s="316">
        <v>50000</v>
      </c>
      <c r="AU6" s="316">
        <v>500000</v>
      </c>
      <c r="AV6" s="316">
        <v>70000</v>
      </c>
      <c r="AW6" s="316">
        <v>69750</v>
      </c>
      <c r="AX6" s="316">
        <v>0</v>
      </c>
      <c r="AY6" s="436">
        <v>0</v>
      </c>
      <c r="AZ6" s="1018"/>
      <c r="BA6" s="354">
        <f t="shared" si="4"/>
        <v>535000</v>
      </c>
      <c r="BB6" s="347">
        <v>535000</v>
      </c>
      <c r="BC6" s="338">
        <v>0</v>
      </c>
      <c r="BD6" s="338">
        <v>0</v>
      </c>
      <c r="BE6" s="338">
        <v>0</v>
      </c>
      <c r="BF6" s="338">
        <v>0</v>
      </c>
      <c r="BG6" s="219">
        <v>0</v>
      </c>
      <c r="BH6" s="506">
        <v>0</v>
      </c>
      <c r="BI6" s="323" t="s">
        <v>492</v>
      </c>
      <c r="BJ6" s="461" t="s">
        <v>29</v>
      </c>
      <c r="BK6" s="456" t="s">
        <v>373</v>
      </c>
      <c r="BL6" s="281"/>
    </row>
    <row r="7" spans="1:64" s="194" customFormat="1" ht="81" customHeight="1" x14ac:dyDescent="0.25">
      <c r="A7" s="195" t="s">
        <v>34</v>
      </c>
      <c r="B7" s="297">
        <v>1210</v>
      </c>
      <c r="C7" s="297">
        <v>210</v>
      </c>
      <c r="D7" s="298" t="s">
        <v>35</v>
      </c>
      <c r="E7" s="365">
        <v>17.920000000000002</v>
      </c>
      <c r="F7" s="366">
        <v>25</v>
      </c>
      <c r="G7" s="170">
        <v>45000000</v>
      </c>
      <c r="H7" s="390">
        <v>0.11</v>
      </c>
      <c r="I7" s="391">
        <v>0.08</v>
      </c>
      <c r="J7" s="391">
        <v>0.12</v>
      </c>
      <c r="K7" s="391">
        <v>0.45</v>
      </c>
      <c r="L7" s="392">
        <v>0.24</v>
      </c>
      <c r="M7" s="390">
        <v>0.5</v>
      </c>
      <c r="N7" s="391">
        <v>0.3</v>
      </c>
      <c r="O7" s="391">
        <v>0.15</v>
      </c>
      <c r="P7" s="391">
        <v>4.9999999999999996E-2</v>
      </c>
      <c r="Q7" s="393">
        <v>0</v>
      </c>
      <c r="R7" s="199">
        <f t="shared" si="0"/>
        <v>676768.53200000001</v>
      </c>
      <c r="S7" s="317">
        <v>67381.570000000007</v>
      </c>
      <c r="T7" s="317">
        <v>0</v>
      </c>
      <c r="U7" s="317">
        <v>0</v>
      </c>
      <c r="V7" s="317">
        <v>0</v>
      </c>
      <c r="W7" s="317">
        <v>0</v>
      </c>
      <c r="X7" s="317">
        <v>0</v>
      </c>
      <c r="Y7" s="317">
        <v>182550.22</v>
      </c>
      <c r="Z7" s="317">
        <v>0</v>
      </c>
      <c r="AA7" s="317">
        <v>96951.400000000009</v>
      </c>
      <c r="AB7" s="317">
        <v>325444.342</v>
      </c>
      <c r="AC7" s="317">
        <v>4441</v>
      </c>
      <c r="AD7" s="437">
        <v>0</v>
      </c>
      <c r="AE7" s="1017">
        <v>1086013.3599999999</v>
      </c>
      <c r="AF7" s="307">
        <f t="shared" si="2"/>
        <v>985000</v>
      </c>
      <c r="AG7" s="339">
        <v>0</v>
      </c>
      <c r="AH7" s="339">
        <v>0</v>
      </c>
      <c r="AI7" s="339">
        <v>0</v>
      </c>
      <c r="AJ7" s="339">
        <v>0</v>
      </c>
      <c r="AK7" s="339">
        <v>985000</v>
      </c>
      <c r="AL7" s="336">
        <v>0</v>
      </c>
      <c r="AM7" s="228">
        <v>0</v>
      </c>
      <c r="AN7" s="199">
        <f t="shared" si="1"/>
        <v>479500</v>
      </c>
      <c r="AO7" s="317">
        <v>0</v>
      </c>
      <c r="AP7" s="317">
        <v>0</v>
      </c>
      <c r="AQ7" s="317">
        <v>0</v>
      </c>
      <c r="AR7" s="317">
        <v>0</v>
      </c>
      <c r="AS7" s="317" t="s">
        <v>493</v>
      </c>
      <c r="AT7" s="317">
        <v>50000</v>
      </c>
      <c r="AU7" s="317">
        <f t="shared" si="3"/>
        <v>0</v>
      </c>
      <c r="AV7" s="317">
        <v>50000</v>
      </c>
      <c r="AW7" s="317">
        <v>379500</v>
      </c>
      <c r="AX7" s="317">
        <v>0</v>
      </c>
      <c r="AY7" s="437">
        <v>0</v>
      </c>
      <c r="AZ7" s="1017">
        <v>918000</v>
      </c>
      <c r="BA7" s="352">
        <f t="shared" si="4"/>
        <v>760000</v>
      </c>
      <c r="BB7" s="348">
        <v>0</v>
      </c>
      <c r="BC7" s="339">
        <v>0</v>
      </c>
      <c r="BD7" s="339">
        <v>0</v>
      </c>
      <c r="BE7" s="339">
        <v>760000</v>
      </c>
      <c r="BF7" s="335">
        <v>0</v>
      </c>
      <c r="BG7" s="228">
        <v>0</v>
      </c>
      <c r="BH7" s="504">
        <v>0</v>
      </c>
      <c r="BI7" s="324" t="s">
        <v>494</v>
      </c>
      <c r="BJ7" s="462" t="s">
        <v>495</v>
      </c>
      <c r="BK7" s="457" t="s">
        <v>441</v>
      </c>
      <c r="BL7" s="279" t="s">
        <v>496</v>
      </c>
    </row>
    <row r="8" spans="1:64" s="194" customFormat="1" ht="72" customHeight="1" x14ac:dyDescent="0.25">
      <c r="A8" s="204" t="s">
        <v>34</v>
      </c>
      <c r="B8" s="292">
        <v>1220</v>
      </c>
      <c r="C8" s="292">
        <v>220</v>
      </c>
      <c r="D8" s="299" t="s">
        <v>39</v>
      </c>
      <c r="E8" s="363">
        <v>29.779999999999998</v>
      </c>
      <c r="F8" s="364">
        <v>25.24</v>
      </c>
      <c r="G8" s="169">
        <v>18900000</v>
      </c>
      <c r="H8" s="394">
        <v>0.21</v>
      </c>
      <c r="I8" s="395">
        <v>0.08</v>
      </c>
      <c r="J8" s="395">
        <v>0.09</v>
      </c>
      <c r="K8" s="395">
        <v>0.28999999999999998</v>
      </c>
      <c r="L8" s="396">
        <v>0.33</v>
      </c>
      <c r="M8" s="394">
        <v>0.5</v>
      </c>
      <c r="N8" s="395">
        <v>0.3</v>
      </c>
      <c r="O8" s="395">
        <v>0.15</v>
      </c>
      <c r="P8" s="395">
        <v>4.9999999999999996E-2</v>
      </c>
      <c r="Q8" s="397">
        <v>0</v>
      </c>
      <c r="R8" s="208">
        <f t="shared" si="0"/>
        <v>447035.66</v>
      </c>
      <c r="S8" s="315">
        <v>0</v>
      </c>
      <c r="T8" s="315">
        <v>0</v>
      </c>
      <c r="U8" s="315">
        <v>0</v>
      </c>
      <c r="V8" s="315">
        <v>0</v>
      </c>
      <c r="W8" s="315">
        <v>0</v>
      </c>
      <c r="X8" s="315">
        <v>0</v>
      </c>
      <c r="Y8" s="315">
        <v>432035.66</v>
      </c>
      <c r="Z8" s="315">
        <v>0</v>
      </c>
      <c r="AA8" s="315">
        <v>0</v>
      </c>
      <c r="AB8" s="315">
        <v>0</v>
      </c>
      <c r="AC8" s="315">
        <v>15000</v>
      </c>
      <c r="AD8" s="435">
        <v>0</v>
      </c>
      <c r="AE8" s="1019"/>
      <c r="AF8" s="308">
        <f t="shared" si="2"/>
        <v>80000</v>
      </c>
      <c r="AG8" s="337">
        <v>0</v>
      </c>
      <c r="AH8" s="337">
        <v>0</v>
      </c>
      <c r="AI8" s="337">
        <v>0</v>
      </c>
      <c r="AJ8" s="337">
        <v>0</v>
      </c>
      <c r="AK8" s="337">
        <v>80000</v>
      </c>
      <c r="AL8" s="337">
        <v>0</v>
      </c>
      <c r="AM8" s="210">
        <v>0</v>
      </c>
      <c r="AN8" s="208">
        <f t="shared" si="1"/>
        <v>25000</v>
      </c>
      <c r="AO8" s="315">
        <v>0</v>
      </c>
      <c r="AP8" s="315">
        <v>0</v>
      </c>
      <c r="AQ8" s="315">
        <v>0</v>
      </c>
      <c r="AR8" s="315">
        <v>0</v>
      </c>
      <c r="AS8" s="315">
        <v>0</v>
      </c>
      <c r="AT8" s="315">
        <v>0</v>
      </c>
      <c r="AU8" s="315">
        <f t="shared" si="3"/>
        <v>0</v>
      </c>
      <c r="AV8" s="315">
        <v>0</v>
      </c>
      <c r="AW8" s="315">
        <v>0</v>
      </c>
      <c r="AX8" s="315">
        <v>25000</v>
      </c>
      <c r="AY8" s="435">
        <v>0</v>
      </c>
      <c r="AZ8" s="1019"/>
      <c r="BA8" s="353">
        <f t="shared" si="4"/>
        <v>150000</v>
      </c>
      <c r="BB8" s="346">
        <v>0</v>
      </c>
      <c r="BC8" s="337">
        <v>0</v>
      </c>
      <c r="BD8" s="337">
        <v>0</v>
      </c>
      <c r="BE8" s="337">
        <v>150000</v>
      </c>
      <c r="BF8" s="337">
        <v>0</v>
      </c>
      <c r="BG8" s="210">
        <v>0</v>
      </c>
      <c r="BH8" s="505">
        <v>0</v>
      </c>
      <c r="BI8" s="325" t="s">
        <v>497</v>
      </c>
      <c r="BJ8" s="463" t="s">
        <v>336</v>
      </c>
      <c r="BK8" s="457" t="s">
        <v>444</v>
      </c>
      <c r="BL8" s="280" t="s">
        <v>498</v>
      </c>
    </row>
    <row r="9" spans="1:64" s="194" customFormat="1" ht="72" customHeight="1" thickBot="1" x14ac:dyDescent="0.3">
      <c r="A9" s="213" t="s">
        <v>34</v>
      </c>
      <c r="B9" s="300">
        <v>1230</v>
      </c>
      <c r="C9" s="300">
        <v>299</v>
      </c>
      <c r="D9" s="301" t="s">
        <v>42</v>
      </c>
      <c r="E9" s="367">
        <v>12.159999999999998</v>
      </c>
      <c r="F9" s="368">
        <v>30.88</v>
      </c>
      <c r="G9" s="171">
        <v>28200000</v>
      </c>
      <c r="H9" s="394">
        <v>0.1</v>
      </c>
      <c r="I9" s="395">
        <v>7.0000000000000007E-2</v>
      </c>
      <c r="J9" s="395">
        <v>0.21</v>
      </c>
      <c r="K9" s="395">
        <v>0.34</v>
      </c>
      <c r="L9" s="396">
        <v>0.28000000000000003</v>
      </c>
      <c r="M9" s="394">
        <v>0.5</v>
      </c>
      <c r="N9" s="395">
        <v>0.3</v>
      </c>
      <c r="O9" s="395">
        <v>0.15</v>
      </c>
      <c r="P9" s="395">
        <v>4.9999999999999996E-2</v>
      </c>
      <c r="Q9" s="397">
        <v>0</v>
      </c>
      <c r="R9" s="217">
        <f t="shared" si="0"/>
        <v>2209386.84</v>
      </c>
      <c r="S9" s="318">
        <v>0</v>
      </c>
      <c r="T9" s="318">
        <v>0</v>
      </c>
      <c r="U9" s="318">
        <v>0</v>
      </c>
      <c r="V9" s="318">
        <v>0</v>
      </c>
      <c r="W9" s="318">
        <v>0</v>
      </c>
      <c r="X9" s="318">
        <v>0</v>
      </c>
      <c r="Y9" s="318">
        <v>53843.87</v>
      </c>
      <c r="Z9" s="318">
        <v>1624001.69</v>
      </c>
      <c r="AA9" s="318">
        <v>519453.27999999997</v>
      </c>
      <c r="AB9" s="318">
        <v>0</v>
      </c>
      <c r="AC9" s="318">
        <v>12088</v>
      </c>
      <c r="AD9" s="438">
        <v>0</v>
      </c>
      <c r="AE9" s="1018"/>
      <c r="AF9" s="309">
        <f t="shared" si="2"/>
        <v>5000</v>
      </c>
      <c r="AG9" s="340">
        <v>0</v>
      </c>
      <c r="AH9" s="340">
        <v>0</v>
      </c>
      <c r="AI9" s="340">
        <v>0</v>
      </c>
      <c r="AJ9" s="340">
        <v>0</v>
      </c>
      <c r="AK9" s="340">
        <v>5000</v>
      </c>
      <c r="AL9" s="338">
        <v>0</v>
      </c>
      <c r="AM9" s="240">
        <v>0</v>
      </c>
      <c r="AN9" s="217">
        <f t="shared" si="1"/>
        <v>6100000</v>
      </c>
      <c r="AO9" s="318">
        <v>0</v>
      </c>
      <c r="AP9" s="318">
        <v>0</v>
      </c>
      <c r="AQ9" s="318">
        <v>0</v>
      </c>
      <c r="AR9" s="318">
        <v>0</v>
      </c>
      <c r="AS9" s="318">
        <v>0</v>
      </c>
      <c r="AT9" s="318">
        <v>0</v>
      </c>
      <c r="AU9" s="318">
        <v>6000000</v>
      </c>
      <c r="AV9" s="318">
        <v>100000</v>
      </c>
      <c r="AW9" s="318">
        <v>0</v>
      </c>
      <c r="AX9" s="318">
        <v>0</v>
      </c>
      <c r="AY9" s="438">
        <v>0</v>
      </c>
      <c r="AZ9" s="1018"/>
      <c r="BA9" s="354">
        <f t="shared" si="4"/>
        <v>30000</v>
      </c>
      <c r="BB9" s="349">
        <v>0</v>
      </c>
      <c r="BC9" s="340">
        <v>0</v>
      </c>
      <c r="BD9" s="340">
        <v>0</v>
      </c>
      <c r="BE9" s="340">
        <v>30000</v>
      </c>
      <c r="BF9" s="338">
        <v>0</v>
      </c>
      <c r="BG9" s="240">
        <v>0</v>
      </c>
      <c r="BH9" s="506">
        <v>0</v>
      </c>
      <c r="BI9" s="326" t="s">
        <v>499</v>
      </c>
      <c r="BJ9" s="482" t="s">
        <v>500</v>
      </c>
      <c r="BK9" s="474" t="s">
        <v>447</v>
      </c>
      <c r="BL9" s="283" t="s">
        <v>501</v>
      </c>
    </row>
    <row r="10" spans="1:64" s="194" customFormat="1" ht="81" customHeight="1" x14ac:dyDescent="0.25">
      <c r="A10" s="195" t="s">
        <v>45</v>
      </c>
      <c r="B10" s="297">
        <v>1310</v>
      </c>
      <c r="C10" s="297">
        <v>310</v>
      </c>
      <c r="D10" s="298" t="s">
        <v>46</v>
      </c>
      <c r="E10" s="365">
        <v>11</v>
      </c>
      <c r="F10" s="366">
        <v>25</v>
      </c>
      <c r="G10" s="170">
        <v>27000000</v>
      </c>
      <c r="H10" s="398">
        <v>7.0000000000000007E-2</v>
      </c>
      <c r="I10" s="399">
        <v>7.0000000000000007E-2</v>
      </c>
      <c r="J10" s="399">
        <v>0.09</v>
      </c>
      <c r="K10" s="399">
        <v>0.47</v>
      </c>
      <c r="L10" s="400">
        <v>0.3</v>
      </c>
      <c r="M10" s="398">
        <v>0.3</v>
      </c>
      <c r="N10" s="399">
        <v>0.5</v>
      </c>
      <c r="O10" s="399">
        <v>0.19999999999999998</v>
      </c>
      <c r="P10" s="399">
        <v>0</v>
      </c>
      <c r="Q10" s="400">
        <v>0</v>
      </c>
      <c r="R10" s="199">
        <f t="shared" si="0"/>
        <v>333791.9105</v>
      </c>
      <c r="S10" s="314">
        <v>1322.5</v>
      </c>
      <c r="T10" s="314">
        <v>0</v>
      </c>
      <c r="U10" s="314">
        <v>0</v>
      </c>
      <c r="V10" s="314">
        <v>0</v>
      </c>
      <c r="W10" s="314">
        <v>0</v>
      </c>
      <c r="X10" s="314">
        <v>0</v>
      </c>
      <c r="Y10" s="314">
        <v>56350.87999999999</v>
      </c>
      <c r="Z10" s="314">
        <v>0</v>
      </c>
      <c r="AA10" s="314">
        <v>137131.92000000001</v>
      </c>
      <c r="AB10" s="314">
        <v>119461.61050000001</v>
      </c>
      <c r="AC10" s="314">
        <v>19525</v>
      </c>
      <c r="AD10" s="434">
        <v>0</v>
      </c>
      <c r="AE10" s="1017">
        <v>479612.75</v>
      </c>
      <c r="AF10" s="307">
        <f t="shared" si="2"/>
        <v>385000</v>
      </c>
      <c r="AG10" s="336">
        <v>0</v>
      </c>
      <c r="AH10" s="336">
        <v>0</v>
      </c>
      <c r="AI10" s="336">
        <v>0</v>
      </c>
      <c r="AJ10" s="336">
        <v>0</v>
      </c>
      <c r="AK10" s="336">
        <v>0</v>
      </c>
      <c r="AL10" s="336">
        <v>385000</v>
      </c>
      <c r="AM10" s="201">
        <v>0</v>
      </c>
      <c r="AN10" s="199">
        <f t="shared" si="1"/>
        <v>190605</v>
      </c>
      <c r="AO10" s="314">
        <v>20000</v>
      </c>
      <c r="AP10" s="314">
        <v>0</v>
      </c>
      <c r="AQ10" s="314">
        <v>0</v>
      </c>
      <c r="AR10" s="314">
        <v>0</v>
      </c>
      <c r="AS10" s="314">
        <v>0</v>
      </c>
      <c r="AT10" s="314">
        <v>20000</v>
      </c>
      <c r="AU10" s="314">
        <f t="shared" si="3"/>
        <v>0</v>
      </c>
      <c r="AV10" s="314">
        <v>20000</v>
      </c>
      <c r="AW10" s="314">
        <v>119500</v>
      </c>
      <c r="AX10" s="314">
        <v>11105</v>
      </c>
      <c r="AY10" s="434">
        <v>0</v>
      </c>
      <c r="AZ10" s="1017">
        <v>396000</v>
      </c>
      <c r="BA10" s="352">
        <f t="shared" si="4"/>
        <v>385000</v>
      </c>
      <c r="BB10" s="345">
        <v>0</v>
      </c>
      <c r="BC10" s="336">
        <v>0</v>
      </c>
      <c r="BD10" s="336">
        <v>0</v>
      </c>
      <c r="BE10" s="336">
        <v>0</v>
      </c>
      <c r="BF10" s="336">
        <v>385000</v>
      </c>
      <c r="BG10" s="201">
        <v>0</v>
      </c>
      <c r="BH10" s="504">
        <v>0</v>
      </c>
      <c r="BI10" s="327" t="s">
        <v>502</v>
      </c>
      <c r="BJ10" s="464" t="s">
        <v>503</v>
      </c>
      <c r="BK10" s="457" t="s">
        <v>450</v>
      </c>
      <c r="BL10" s="282" t="s">
        <v>504</v>
      </c>
    </row>
    <row r="11" spans="1:64" s="194" customFormat="1" ht="30" x14ac:dyDescent="0.25">
      <c r="A11" s="204" t="s">
        <v>45</v>
      </c>
      <c r="B11" s="311" t="s">
        <v>49</v>
      </c>
      <c r="C11" s="292">
        <v>351</v>
      </c>
      <c r="D11" s="299" t="s">
        <v>50</v>
      </c>
      <c r="E11" s="363">
        <v>5.3199999999999994</v>
      </c>
      <c r="F11" s="364">
        <v>57.269999999999996</v>
      </c>
      <c r="G11" s="169">
        <f>5000*57</f>
        <v>285000</v>
      </c>
      <c r="H11" s="394">
        <v>0.27</v>
      </c>
      <c r="I11" s="395">
        <v>0.18</v>
      </c>
      <c r="J11" s="395">
        <v>0.39</v>
      </c>
      <c r="K11" s="395">
        <v>0.16</v>
      </c>
      <c r="L11" s="397">
        <v>0</v>
      </c>
      <c r="M11" s="394">
        <v>0.3</v>
      </c>
      <c r="N11" s="395">
        <v>0.5</v>
      </c>
      <c r="O11" s="395">
        <v>0.19999999999999998</v>
      </c>
      <c r="P11" s="395">
        <v>0</v>
      </c>
      <c r="Q11" s="397">
        <v>0</v>
      </c>
      <c r="R11" s="208">
        <f t="shared" si="0"/>
        <v>0</v>
      </c>
      <c r="S11" s="315">
        <v>0</v>
      </c>
      <c r="T11" s="315">
        <v>0</v>
      </c>
      <c r="U11" s="315">
        <v>0</v>
      </c>
      <c r="V11" s="315">
        <v>0</v>
      </c>
      <c r="W11" s="315">
        <v>0</v>
      </c>
      <c r="X11" s="315">
        <v>0</v>
      </c>
      <c r="Y11" s="315">
        <v>0</v>
      </c>
      <c r="Z11" s="315">
        <v>0</v>
      </c>
      <c r="AA11" s="315">
        <v>0</v>
      </c>
      <c r="AB11" s="315">
        <v>0</v>
      </c>
      <c r="AC11" s="315">
        <v>0</v>
      </c>
      <c r="AD11" s="435">
        <v>0</v>
      </c>
      <c r="AE11" s="1019"/>
      <c r="AF11" s="308">
        <f t="shared" si="2"/>
        <v>15000</v>
      </c>
      <c r="AG11" s="337">
        <v>0</v>
      </c>
      <c r="AH11" s="337">
        <v>0</v>
      </c>
      <c r="AI11" s="337">
        <v>0</v>
      </c>
      <c r="AJ11" s="337">
        <v>0</v>
      </c>
      <c r="AK11" s="337">
        <v>0</v>
      </c>
      <c r="AL11" s="337">
        <v>15000</v>
      </c>
      <c r="AM11" s="210">
        <v>0</v>
      </c>
      <c r="AN11" s="208">
        <f t="shared" si="1"/>
        <v>0</v>
      </c>
      <c r="AO11" s="315">
        <v>0</v>
      </c>
      <c r="AP11" s="315">
        <v>0</v>
      </c>
      <c r="AQ11" s="315">
        <v>0</v>
      </c>
      <c r="AR11" s="315">
        <v>0</v>
      </c>
      <c r="AS11" s="315">
        <v>0</v>
      </c>
      <c r="AT11" s="315">
        <v>0</v>
      </c>
      <c r="AU11" s="315">
        <f t="shared" si="3"/>
        <v>0</v>
      </c>
      <c r="AV11" s="315">
        <v>0</v>
      </c>
      <c r="AW11" s="315">
        <v>0</v>
      </c>
      <c r="AX11" s="315">
        <v>0</v>
      </c>
      <c r="AY11" s="435">
        <v>0</v>
      </c>
      <c r="AZ11" s="1019"/>
      <c r="BA11" s="353">
        <f t="shared" si="4"/>
        <v>15000</v>
      </c>
      <c r="BB11" s="346">
        <v>0</v>
      </c>
      <c r="BC11" s="337">
        <v>0</v>
      </c>
      <c r="BD11" s="337">
        <v>0</v>
      </c>
      <c r="BE11" s="337">
        <v>0</v>
      </c>
      <c r="BF11" s="337">
        <v>15000</v>
      </c>
      <c r="BG11" s="210">
        <v>0</v>
      </c>
      <c r="BH11" s="505">
        <v>0</v>
      </c>
      <c r="BI11" s="325"/>
      <c r="BJ11" s="463" t="s">
        <v>505</v>
      </c>
      <c r="BK11" s="458" t="s">
        <v>25</v>
      </c>
      <c r="BL11" s="312" t="s">
        <v>506</v>
      </c>
    </row>
    <row r="12" spans="1:64" s="194" customFormat="1" ht="30" x14ac:dyDescent="0.25">
      <c r="A12" s="204" t="s">
        <v>45</v>
      </c>
      <c r="B12" s="311" t="s">
        <v>49</v>
      </c>
      <c r="C12" s="292">
        <v>352</v>
      </c>
      <c r="D12" s="299" t="s">
        <v>53</v>
      </c>
      <c r="E12" s="363">
        <v>23.86</v>
      </c>
      <c r="F12" s="364">
        <v>33</v>
      </c>
      <c r="G12" s="169">
        <f>600000*14</f>
        <v>8400000</v>
      </c>
      <c r="H12" s="394">
        <v>0.28999999999999998</v>
      </c>
      <c r="I12" s="395">
        <v>0.14000000000000001</v>
      </c>
      <c r="J12" s="395">
        <v>0.28999999999999998</v>
      </c>
      <c r="K12" s="395">
        <v>0.14000000000000001</v>
      </c>
      <c r="L12" s="397">
        <v>0.14000000000000001</v>
      </c>
      <c r="M12" s="394">
        <v>0.3</v>
      </c>
      <c r="N12" s="395">
        <v>0.5</v>
      </c>
      <c r="O12" s="395">
        <v>0.19999999999999998</v>
      </c>
      <c r="P12" s="395">
        <v>0</v>
      </c>
      <c r="Q12" s="397">
        <v>0</v>
      </c>
      <c r="R12" s="208">
        <f t="shared" si="0"/>
        <v>1464655</v>
      </c>
      <c r="S12" s="315">
        <v>0</v>
      </c>
      <c r="T12" s="315">
        <v>0</v>
      </c>
      <c r="U12" s="315">
        <v>0</v>
      </c>
      <c r="V12" s="315">
        <v>0</v>
      </c>
      <c r="W12" s="315">
        <v>0</v>
      </c>
      <c r="X12" s="315">
        <v>0</v>
      </c>
      <c r="Y12" s="315">
        <v>1464655</v>
      </c>
      <c r="Z12" s="315">
        <v>0</v>
      </c>
      <c r="AA12" s="315">
        <v>0</v>
      </c>
      <c r="AB12" s="315">
        <v>0</v>
      </c>
      <c r="AC12" s="315">
        <v>0</v>
      </c>
      <c r="AD12" s="435">
        <v>0</v>
      </c>
      <c r="AE12" s="1019"/>
      <c r="AF12" s="308">
        <f t="shared" si="2"/>
        <v>25000</v>
      </c>
      <c r="AG12" s="337">
        <v>0</v>
      </c>
      <c r="AH12" s="337">
        <v>0</v>
      </c>
      <c r="AI12" s="337">
        <v>0</v>
      </c>
      <c r="AJ12" s="337">
        <v>0</v>
      </c>
      <c r="AK12" s="337">
        <v>0</v>
      </c>
      <c r="AL12" s="337">
        <v>25000</v>
      </c>
      <c r="AM12" s="210">
        <v>0</v>
      </c>
      <c r="AN12" s="208">
        <f t="shared" si="1"/>
        <v>355000</v>
      </c>
      <c r="AO12" s="315">
        <v>0</v>
      </c>
      <c r="AP12" s="315">
        <v>0</v>
      </c>
      <c r="AQ12" s="315">
        <v>0</v>
      </c>
      <c r="AR12" s="315">
        <v>0</v>
      </c>
      <c r="AS12" s="315">
        <v>0</v>
      </c>
      <c r="AT12" s="315">
        <v>355000</v>
      </c>
      <c r="AU12" s="315">
        <f t="shared" si="3"/>
        <v>0</v>
      </c>
      <c r="AV12" s="315">
        <v>0</v>
      </c>
      <c r="AW12" s="315">
        <v>0</v>
      </c>
      <c r="AX12" s="315">
        <v>0</v>
      </c>
      <c r="AY12" s="435">
        <v>0</v>
      </c>
      <c r="AZ12" s="1019"/>
      <c r="BA12" s="353">
        <f t="shared" si="4"/>
        <v>25000</v>
      </c>
      <c r="BB12" s="346">
        <v>0</v>
      </c>
      <c r="BC12" s="337">
        <v>0</v>
      </c>
      <c r="BD12" s="337">
        <v>0</v>
      </c>
      <c r="BE12" s="337">
        <v>0</v>
      </c>
      <c r="BF12" s="337">
        <v>25000</v>
      </c>
      <c r="BG12" s="210">
        <v>0</v>
      </c>
      <c r="BH12" s="505">
        <v>0</v>
      </c>
      <c r="BI12" s="325" t="s">
        <v>507</v>
      </c>
      <c r="BJ12" s="463" t="s">
        <v>505</v>
      </c>
      <c r="BK12" s="458" t="s">
        <v>455</v>
      </c>
      <c r="BL12" s="312" t="s">
        <v>508</v>
      </c>
    </row>
    <row r="13" spans="1:64" s="194" customFormat="1" ht="30.75" thickBot="1" x14ac:dyDescent="0.3">
      <c r="A13" s="213" t="s">
        <v>45</v>
      </c>
      <c r="B13" s="302" t="s">
        <v>49</v>
      </c>
      <c r="C13" s="300">
        <v>399</v>
      </c>
      <c r="D13" s="301" t="s">
        <v>56</v>
      </c>
      <c r="E13" s="369">
        <v>0</v>
      </c>
      <c r="F13" s="370">
        <v>0</v>
      </c>
      <c r="G13" s="171">
        <v>0</v>
      </c>
      <c r="H13" s="401">
        <v>1</v>
      </c>
      <c r="I13" s="402">
        <v>0</v>
      </c>
      <c r="J13" s="402">
        <v>0</v>
      </c>
      <c r="K13" s="402">
        <v>0</v>
      </c>
      <c r="L13" s="403">
        <v>0</v>
      </c>
      <c r="M13" s="401">
        <v>0.3</v>
      </c>
      <c r="N13" s="402">
        <v>0.5</v>
      </c>
      <c r="O13" s="402">
        <v>0.2</v>
      </c>
      <c r="P13" s="402">
        <v>0</v>
      </c>
      <c r="Q13" s="403">
        <v>0</v>
      </c>
      <c r="R13" s="217">
        <f t="shared" si="0"/>
        <v>439334.56</v>
      </c>
      <c r="S13" s="358">
        <v>0</v>
      </c>
      <c r="T13" s="358">
        <v>0</v>
      </c>
      <c r="U13" s="358">
        <v>0</v>
      </c>
      <c r="V13" s="358">
        <v>0</v>
      </c>
      <c r="W13" s="358">
        <v>0</v>
      </c>
      <c r="X13" s="358">
        <v>0</v>
      </c>
      <c r="Y13" s="316">
        <v>11401</v>
      </c>
      <c r="Z13" s="358">
        <v>424542.24</v>
      </c>
      <c r="AA13" s="316">
        <v>3391.32</v>
      </c>
      <c r="AB13" s="358">
        <v>0</v>
      </c>
      <c r="AC13" s="358"/>
      <c r="AD13" s="439"/>
      <c r="AE13" s="1018"/>
      <c r="AF13" s="309">
        <f t="shared" si="2"/>
        <v>0</v>
      </c>
      <c r="AG13" s="359">
        <v>0</v>
      </c>
      <c r="AH13" s="359">
        <v>0</v>
      </c>
      <c r="AI13" s="359">
        <v>0</v>
      </c>
      <c r="AJ13" s="359">
        <v>0</v>
      </c>
      <c r="AK13" s="359">
        <v>0</v>
      </c>
      <c r="AL13" s="359">
        <v>0</v>
      </c>
      <c r="AM13" s="360">
        <v>0</v>
      </c>
      <c r="AN13" s="217">
        <f t="shared" si="1"/>
        <v>3027000</v>
      </c>
      <c r="AO13" s="358">
        <v>0</v>
      </c>
      <c r="AP13" s="358">
        <v>0</v>
      </c>
      <c r="AQ13" s="358">
        <v>0</v>
      </c>
      <c r="AR13" s="358">
        <v>0</v>
      </c>
      <c r="AS13" s="358">
        <v>0</v>
      </c>
      <c r="AT13" s="316">
        <v>7000</v>
      </c>
      <c r="AU13" s="358">
        <v>3000000</v>
      </c>
      <c r="AV13" s="316">
        <v>20000</v>
      </c>
      <c r="AW13" s="358">
        <v>0</v>
      </c>
      <c r="AX13" s="358"/>
      <c r="AY13" s="439"/>
      <c r="AZ13" s="1018"/>
      <c r="BA13" s="354">
        <f t="shared" si="4"/>
        <v>0</v>
      </c>
      <c r="BB13" s="347">
        <v>0</v>
      </c>
      <c r="BC13" s="338">
        <v>0</v>
      </c>
      <c r="BD13" s="338">
        <v>0</v>
      </c>
      <c r="BE13" s="338">
        <v>0</v>
      </c>
      <c r="BF13" s="338">
        <v>0</v>
      </c>
      <c r="BG13" s="219">
        <v>0</v>
      </c>
      <c r="BH13" s="506">
        <v>0</v>
      </c>
      <c r="BI13" s="454" t="s">
        <v>509</v>
      </c>
      <c r="BJ13" s="475"/>
      <c r="BK13" s="472"/>
      <c r="BL13" s="451" t="s">
        <v>510</v>
      </c>
    </row>
    <row r="14" spans="1:64" s="194" customFormat="1" ht="45" customHeight="1" x14ac:dyDescent="0.25">
      <c r="A14" s="195" t="s">
        <v>59</v>
      </c>
      <c r="B14" s="297">
        <v>1410</v>
      </c>
      <c r="C14" s="297">
        <v>410</v>
      </c>
      <c r="D14" s="303" t="s">
        <v>60</v>
      </c>
      <c r="E14" s="365">
        <v>24</v>
      </c>
      <c r="F14" s="366">
        <v>20</v>
      </c>
      <c r="G14" s="170">
        <v>90000000</v>
      </c>
      <c r="H14" s="398">
        <v>0.18</v>
      </c>
      <c r="I14" s="399">
        <v>0.27</v>
      </c>
      <c r="J14" s="399">
        <v>0.19</v>
      </c>
      <c r="K14" s="399">
        <v>0.18</v>
      </c>
      <c r="L14" s="400">
        <v>0.18</v>
      </c>
      <c r="M14" s="398">
        <v>0.5</v>
      </c>
      <c r="N14" s="399">
        <v>0.3</v>
      </c>
      <c r="O14" s="399">
        <v>0.19999999999999998</v>
      </c>
      <c r="P14" s="399">
        <v>0</v>
      </c>
      <c r="Q14" s="400">
        <v>0</v>
      </c>
      <c r="R14" s="199">
        <f t="shared" si="0"/>
        <v>2124103.83</v>
      </c>
      <c r="S14" s="317">
        <v>67389.55</v>
      </c>
      <c r="T14" s="317">
        <v>0</v>
      </c>
      <c r="U14" s="317">
        <v>0</v>
      </c>
      <c r="V14" s="317">
        <v>0</v>
      </c>
      <c r="W14" s="317">
        <v>0</v>
      </c>
      <c r="X14" s="317">
        <v>178779</v>
      </c>
      <c r="Y14" s="317">
        <v>187374.28</v>
      </c>
      <c r="Z14" s="317">
        <v>0</v>
      </c>
      <c r="AA14" s="317">
        <v>0</v>
      </c>
      <c r="AB14" s="317">
        <v>0</v>
      </c>
      <c r="AC14" s="317">
        <v>1690561</v>
      </c>
      <c r="AD14" s="437">
        <v>0</v>
      </c>
      <c r="AE14" s="1017">
        <v>198084.18</v>
      </c>
      <c r="AF14" s="307">
        <f t="shared" si="2"/>
        <v>110000</v>
      </c>
      <c r="AG14" s="339">
        <v>0</v>
      </c>
      <c r="AH14" s="339">
        <v>0</v>
      </c>
      <c r="AI14" s="339">
        <v>0</v>
      </c>
      <c r="AJ14" s="339">
        <v>0</v>
      </c>
      <c r="AK14" s="339">
        <v>0</v>
      </c>
      <c r="AL14" s="336">
        <v>110000</v>
      </c>
      <c r="AM14" s="228">
        <v>0</v>
      </c>
      <c r="AN14" s="199">
        <f t="shared" si="1"/>
        <v>875000</v>
      </c>
      <c r="AO14" s="317">
        <v>0</v>
      </c>
      <c r="AP14" s="317">
        <v>0</v>
      </c>
      <c r="AQ14" s="317">
        <v>0</v>
      </c>
      <c r="AR14" s="317">
        <v>0</v>
      </c>
      <c r="AS14" s="317">
        <v>0</v>
      </c>
      <c r="AT14" s="317">
        <v>25000</v>
      </c>
      <c r="AU14" s="317">
        <v>600000</v>
      </c>
      <c r="AV14" s="317"/>
      <c r="AW14" s="317">
        <v>0</v>
      </c>
      <c r="AX14" s="317">
        <v>250000</v>
      </c>
      <c r="AY14" s="437">
        <v>0</v>
      </c>
      <c r="AZ14" s="1017">
        <v>207000</v>
      </c>
      <c r="BA14" s="352">
        <f t="shared" si="4"/>
        <v>140000</v>
      </c>
      <c r="BB14" s="348">
        <v>0</v>
      </c>
      <c r="BC14" s="339">
        <v>0</v>
      </c>
      <c r="BD14" s="339">
        <v>0</v>
      </c>
      <c r="BE14" s="339">
        <v>0</v>
      </c>
      <c r="BF14" s="339">
        <v>140000</v>
      </c>
      <c r="BG14" s="228">
        <v>0</v>
      </c>
      <c r="BH14" s="504">
        <v>0</v>
      </c>
      <c r="BI14" s="328" t="s">
        <v>511</v>
      </c>
      <c r="BJ14" s="465" t="s">
        <v>512</v>
      </c>
      <c r="BK14" s="473" t="s">
        <v>459</v>
      </c>
      <c r="BL14" s="282"/>
    </row>
    <row r="15" spans="1:64" s="194" customFormat="1" ht="162.75" customHeight="1" thickBot="1" x14ac:dyDescent="0.3">
      <c r="A15" s="213" t="s">
        <v>59</v>
      </c>
      <c r="B15" s="300">
        <v>1420</v>
      </c>
      <c r="C15" s="300">
        <v>499</v>
      </c>
      <c r="D15" s="301" t="s">
        <v>63</v>
      </c>
      <c r="E15" s="367">
        <v>15.549999999999999</v>
      </c>
      <c r="F15" s="368">
        <v>20</v>
      </c>
      <c r="G15" s="171">
        <v>20500000</v>
      </c>
      <c r="H15" s="401">
        <v>0.33</v>
      </c>
      <c r="I15" s="402">
        <v>0.28999999999999998</v>
      </c>
      <c r="J15" s="402">
        <v>0.11</v>
      </c>
      <c r="K15" s="402">
        <v>0.18</v>
      </c>
      <c r="L15" s="403">
        <v>0.09</v>
      </c>
      <c r="M15" s="401">
        <v>0.39999999999999997</v>
      </c>
      <c r="N15" s="402">
        <v>0.35</v>
      </c>
      <c r="O15" s="402">
        <v>0.25</v>
      </c>
      <c r="P15" s="402">
        <v>0</v>
      </c>
      <c r="Q15" s="403">
        <v>0</v>
      </c>
      <c r="R15" s="217">
        <f t="shared" si="0"/>
        <v>5489786.8825000003</v>
      </c>
      <c r="S15" s="318">
        <f>160641.87+15182.3</f>
        <v>175824.16999999998</v>
      </c>
      <c r="T15" s="318">
        <v>0</v>
      </c>
      <c r="U15" s="318">
        <v>0</v>
      </c>
      <c r="V15" s="318">
        <v>0</v>
      </c>
      <c r="W15" s="318">
        <v>0</v>
      </c>
      <c r="X15" s="318">
        <v>0</v>
      </c>
      <c r="Y15" s="318">
        <v>223410.85</v>
      </c>
      <c r="Z15" s="318">
        <v>1673122.31</v>
      </c>
      <c r="AA15" s="318">
        <v>39190.160000000003</v>
      </c>
      <c r="AB15" s="318">
        <v>51808.392500000002</v>
      </c>
      <c r="AC15" s="318">
        <f>3324573+1858</f>
        <v>3326431</v>
      </c>
      <c r="AD15" s="438">
        <v>0</v>
      </c>
      <c r="AE15" s="1018"/>
      <c r="AF15" s="309">
        <f t="shared" si="2"/>
        <v>55000</v>
      </c>
      <c r="AG15" s="340">
        <v>0</v>
      </c>
      <c r="AH15" s="340">
        <v>0</v>
      </c>
      <c r="AI15" s="340">
        <v>0</v>
      </c>
      <c r="AJ15" s="340">
        <v>0</v>
      </c>
      <c r="AK15" s="340">
        <v>0</v>
      </c>
      <c r="AL15" s="340">
        <v>55000</v>
      </c>
      <c r="AM15" s="240">
        <v>0</v>
      </c>
      <c r="AN15" s="217">
        <f t="shared" si="1"/>
        <v>3087337</v>
      </c>
      <c r="AO15" s="318">
        <v>60000</v>
      </c>
      <c r="AP15" s="318">
        <v>0</v>
      </c>
      <c r="AQ15" s="318">
        <v>0</v>
      </c>
      <c r="AR15" s="318">
        <v>0</v>
      </c>
      <c r="AS15" s="318">
        <v>60000</v>
      </c>
      <c r="AT15" s="318">
        <v>300000</v>
      </c>
      <c r="AU15" s="318">
        <v>2000000</v>
      </c>
      <c r="AV15" s="318">
        <v>25000</v>
      </c>
      <c r="AW15" s="318">
        <v>49750</v>
      </c>
      <c r="AX15" s="318">
        <f>500000+22587</f>
        <v>522587</v>
      </c>
      <c r="AY15" s="438">
        <v>70000</v>
      </c>
      <c r="AZ15" s="1018"/>
      <c r="BA15" s="354">
        <f t="shared" si="4"/>
        <v>67000</v>
      </c>
      <c r="BB15" s="349">
        <v>0</v>
      </c>
      <c r="BC15" s="340">
        <v>0</v>
      </c>
      <c r="BD15" s="340">
        <v>0</v>
      </c>
      <c r="BE15" s="340">
        <v>0</v>
      </c>
      <c r="BF15" s="340">
        <v>67000</v>
      </c>
      <c r="BG15" s="240">
        <v>0</v>
      </c>
      <c r="BH15" s="506">
        <v>0</v>
      </c>
      <c r="BI15" s="329" t="s">
        <v>513</v>
      </c>
      <c r="BJ15" s="480" t="s">
        <v>514</v>
      </c>
      <c r="BK15" s="474" t="s">
        <v>463</v>
      </c>
      <c r="BL15" s="283"/>
    </row>
    <row r="16" spans="1:64" s="194" customFormat="1" ht="36" customHeight="1" x14ac:dyDescent="0.25">
      <c r="A16" s="276" t="s">
        <v>66</v>
      </c>
      <c r="B16" s="304">
        <v>1510</v>
      </c>
      <c r="C16" s="297">
        <v>510</v>
      </c>
      <c r="D16" s="298" t="s">
        <v>67</v>
      </c>
      <c r="E16" s="371">
        <v>30</v>
      </c>
      <c r="F16" s="372">
        <v>40</v>
      </c>
      <c r="G16" s="170">
        <v>1500000</v>
      </c>
      <c r="H16" s="398">
        <v>0.19999999999999998</v>
      </c>
      <c r="I16" s="399">
        <v>0.25</v>
      </c>
      <c r="J16" s="399">
        <v>0.25</v>
      </c>
      <c r="K16" s="399">
        <v>0.19999999999999998</v>
      </c>
      <c r="L16" s="400">
        <v>9.9999999999999992E-2</v>
      </c>
      <c r="M16" s="398">
        <v>0.44999999999999996</v>
      </c>
      <c r="N16" s="399">
        <v>0.35</v>
      </c>
      <c r="O16" s="399">
        <v>9.9999999999999992E-2</v>
      </c>
      <c r="P16" s="399">
        <v>9.9999999999999992E-2</v>
      </c>
      <c r="Q16" s="400">
        <v>0</v>
      </c>
      <c r="R16" s="199">
        <f t="shared" si="0"/>
        <v>36171.99</v>
      </c>
      <c r="S16" s="314">
        <v>0</v>
      </c>
      <c r="T16" s="314">
        <v>0</v>
      </c>
      <c r="U16" s="314">
        <v>0</v>
      </c>
      <c r="V16" s="314">
        <v>0</v>
      </c>
      <c r="W16" s="314">
        <v>0</v>
      </c>
      <c r="X16" s="314">
        <v>0</v>
      </c>
      <c r="Y16" s="314">
        <v>10259.99</v>
      </c>
      <c r="Z16" s="314">
        <v>0</v>
      </c>
      <c r="AA16" s="314">
        <v>0</v>
      </c>
      <c r="AB16" s="314">
        <v>0</v>
      </c>
      <c r="AC16" s="314">
        <v>25912</v>
      </c>
      <c r="AD16" s="434">
        <v>0</v>
      </c>
      <c r="AE16" s="1017">
        <v>16713.64</v>
      </c>
      <c r="AF16" s="307">
        <f t="shared" si="2"/>
        <v>8356.82</v>
      </c>
      <c r="AG16" s="336">
        <v>0</v>
      </c>
      <c r="AH16" s="336">
        <v>8356.82</v>
      </c>
      <c r="AI16" s="336">
        <v>0</v>
      </c>
      <c r="AJ16" s="336">
        <v>0</v>
      </c>
      <c r="AK16" s="336">
        <v>0</v>
      </c>
      <c r="AL16" s="336">
        <v>0</v>
      </c>
      <c r="AM16" s="201">
        <v>0</v>
      </c>
      <c r="AN16" s="199">
        <f t="shared" si="1"/>
        <v>15000</v>
      </c>
      <c r="AO16" s="314">
        <v>0</v>
      </c>
      <c r="AP16" s="314">
        <v>0</v>
      </c>
      <c r="AQ16" s="314">
        <v>0</v>
      </c>
      <c r="AR16" s="314">
        <v>0</v>
      </c>
      <c r="AS16" s="314">
        <v>0</v>
      </c>
      <c r="AT16" s="314">
        <v>15000</v>
      </c>
      <c r="AU16" s="314">
        <f t="shared" si="3"/>
        <v>0</v>
      </c>
      <c r="AV16" s="314">
        <v>0</v>
      </c>
      <c r="AW16" s="314">
        <v>0</v>
      </c>
      <c r="AX16" s="314">
        <v>0</v>
      </c>
      <c r="AY16" s="434">
        <v>0</v>
      </c>
      <c r="AZ16" s="1017">
        <v>235000</v>
      </c>
      <c r="BA16" s="352">
        <f t="shared" si="4"/>
        <v>70000</v>
      </c>
      <c r="BB16" s="345">
        <v>0</v>
      </c>
      <c r="BC16" s="336">
        <v>0</v>
      </c>
      <c r="BD16" s="336">
        <v>0</v>
      </c>
      <c r="BE16" s="336">
        <v>0</v>
      </c>
      <c r="BF16" s="336">
        <v>70000</v>
      </c>
      <c r="BG16" s="201">
        <v>0</v>
      </c>
      <c r="BH16" s="504">
        <v>0</v>
      </c>
      <c r="BI16" s="330" t="s">
        <v>515</v>
      </c>
      <c r="BJ16" s="466" t="s">
        <v>435</v>
      </c>
      <c r="BK16" s="479" t="s">
        <v>465</v>
      </c>
      <c r="BL16" s="279" t="s">
        <v>516</v>
      </c>
    </row>
    <row r="17" spans="1:64" s="194" customFormat="1" ht="39.75" customHeight="1" thickBot="1" x14ac:dyDescent="0.3">
      <c r="A17" s="277" t="s">
        <v>66</v>
      </c>
      <c r="B17" s="302">
        <v>1520</v>
      </c>
      <c r="C17" s="300">
        <v>599</v>
      </c>
      <c r="D17" s="305" t="s">
        <v>70</v>
      </c>
      <c r="E17" s="369">
        <v>30</v>
      </c>
      <c r="F17" s="370">
        <v>40</v>
      </c>
      <c r="G17" s="171">
        <v>1500000</v>
      </c>
      <c r="H17" s="401">
        <v>0.19999999999999998</v>
      </c>
      <c r="I17" s="402">
        <v>0.25</v>
      </c>
      <c r="J17" s="402">
        <v>0.25</v>
      </c>
      <c r="K17" s="402">
        <v>0.19999999999999998</v>
      </c>
      <c r="L17" s="403">
        <v>9.9999999999999992E-2</v>
      </c>
      <c r="M17" s="404">
        <v>0.5</v>
      </c>
      <c r="N17" s="405">
        <v>0.3</v>
      </c>
      <c r="O17" s="405">
        <v>0.15</v>
      </c>
      <c r="P17" s="405">
        <v>4.9999999999999996E-2</v>
      </c>
      <c r="Q17" s="406">
        <v>0</v>
      </c>
      <c r="R17" s="217">
        <f t="shared" si="0"/>
        <v>337825.94349999994</v>
      </c>
      <c r="S17" s="316">
        <f>26842+23992.43</f>
        <v>50834.43</v>
      </c>
      <c r="T17" s="316">
        <v>0</v>
      </c>
      <c r="U17" s="316">
        <v>0</v>
      </c>
      <c r="V17" s="316">
        <v>0</v>
      </c>
      <c r="W17" s="316">
        <v>0</v>
      </c>
      <c r="X17" s="316">
        <v>0</v>
      </c>
      <c r="Y17" s="316">
        <v>0</v>
      </c>
      <c r="Z17" s="316">
        <v>94613.4</v>
      </c>
      <c r="AA17" s="316">
        <v>108880.06999999999</v>
      </c>
      <c r="AB17" s="316">
        <v>83498.0435</v>
      </c>
      <c r="AC17" s="316"/>
      <c r="AD17" s="436">
        <v>0</v>
      </c>
      <c r="AE17" s="1018"/>
      <c r="AF17" s="309">
        <f t="shared" si="2"/>
        <v>8356.82</v>
      </c>
      <c r="AG17" s="338">
        <v>0</v>
      </c>
      <c r="AH17" s="338">
        <v>8356.82</v>
      </c>
      <c r="AI17" s="338">
        <v>0</v>
      </c>
      <c r="AJ17" s="338">
        <v>0</v>
      </c>
      <c r="AK17" s="338">
        <v>0</v>
      </c>
      <c r="AL17" s="338">
        <v>0</v>
      </c>
      <c r="AM17" s="219">
        <v>0</v>
      </c>
      <c r="AN17" s="217">
        <f t="shared" si="1"/>
        <v>728117</v>
      </c>
      <c r="AO17" s="316">
        <v>0</v>
      </c>
      <c r="AP17" s="316">
        <v>0</v>
      </c>
      <c r="AQ17" s="316">
        <v>0</v>
      </c>
      <c r="AR17" s="316">
        <v>0</v>
      </c>
      <c r="AS17" s="316">
        <v>0</v>
      </c>
      <c r="AT17" s="316">
        <v>0</v>
      </c>
      <c r="AU17" s="316">
        <v>600000</v>
      </c>
      <c r="AV17" s="316">
        <v>30000</v>
      </c>
      <c r="AW17" s="316">
        <v>89750</v>
      </c>
      <c r="AX17" s="316">
        <v>8367</v>
      </c>
      <c r="AY17" s="436">
        <v>0</v>
      </c>
      <c r="AZ17" s="1018"/>
      <c r="BA17" s="354">
        <f t="shared" si="4"/>
        <v>165000</v>
      </c>
      <c r="BB17" s="347">
        <v>0</v>
      </c>
      <c r="BC17" s="338">
        <v>0</v>
      </c>
      <c r="BD17" s="338">
        <v>0</v>
      </c>
      <c r="BE17" s="338">
        <v>0</v>
      </c>
      <c r="BF17" s="338">
        <v>165000</v>
      </c>
      <c r="BG17" s="219">
        <v>0</v>
      </c>
      <c r="BH17" s="506">
        <v>0</v>
      </c>
      <c r="BI17" s="323"/>
      <c r="BJ17" s="461" t="s">
        <v>435</v>
      </c>
      <c r="BK17" s="470" t="s">
        <v>465</v>
      </c>
      <c r="BL17" s="356" t="s">
        <v>517</v>
      </c>
    </row>
    <row r="18" spans="1:64" s="194" customFormat="1" ht="50.25" customHeight="1" thickBot="1" x14ac:dyDescent="0.3">
      <c r="A18" s="195" t="s">
        <v>72</v>
      </c>
      <c r="B18" s="297">
        <v>1610</v>
      </c>
      <c r="C18" s="297">
        <v>610</v>
      </c>
      <c r="D18" s="298" t="s">
        <v>73</v>
      </c>
      <c r="E18" s="365">
        <v>0.71</v>
      </c>
      <c r="F18" s="366">
        <v>5.85</v>
      </c>
      <c r="G18" s="170">
        <v>40000000</v>
      </c>
      <c r="H18" s="394">
        <v>0.15</v>
      </c>
      <c r="I18" s="395">
        <v>0</v>
      </c>
      <c r="J18" s="395">
        <v>0</v>
      </c>
      <c r="K18" s="395">
        <v>0.85</v>
      </c>
      <c r="L18" s="396">
        <v>0</v>
      </c>
      <c r="M18" s="398">
        <v>0.5</v>
      </c>
      <c r="N18" s="399">
        <v>0.3</v>
      </c>
      <c r="O18" s="399">
        <v>0.15</v>
      </c>
      <c r="P18" s="399">
        <v>4.9999999999999996E-2</v>
      </c>
      <c r="Q18" s="400">
        <v>0</v>
      </c>
      <c r="R18" s="199">
        <f t="shared" si="0"/>
        <v>1606017.676</v>
      </c>
      <c r="S18" s="317">
        <v>0</v>
      </c>
      <c r="T18" s="317">
        <v>0</v>
      </c>
      <c r="U18" s="317">
        <v>0</v>
      </c>
      <c r="V18" s="317">
        <v>0</v>
      </c>
      <c r="W18" s="317">
        <v>0</v>
      </c>
      <c r="X18" s="317">
        <v>0</v>
      </c>
      <c r="Y18" s="317">
        <v>117514.37</v>
      </c>
      <c r="Z18" s="317">
        <v>0</v>
      </c>
      <c r="AA18" s="317">
        <v>825938.07000000007</v>
      </c>
      <c r="AB18" s="317">
        <v>560515.23599999992</v>
      </c>
      <c r="AC18" s="317">
        <f>118579-12088-4441</f>
        <v>102050</v>
      </c>
      <c r="AD18" s="437">
        <v>0</v>
      </c>
      <c r="AE18" s="1017">
        <v>19520.309999999998</v>
      </c>
      <c r="AF18" s="307">
        <f t="shared" si="2"/>
        <v>30000</v>
      </c>
      <c r="AG18" s="339">
        <v>0</v>
      </c>
      <c r="AH18" s="339">
        <v>0</v>
      </c>
      <c r="AI18" s="339">
        <v>0</v>
      </c>
      <c r="AJ18" s="339">
        <v>0</v>
      </c>
      <c r="AK18" s="339">
        <v>30000</v>
      </c>
      <c r="AL18" s="336">
        <v>0</v>
      </c>
      <c r="AM18" s="228">
        <v>0</v>
      </c>
      <c r="AN18" s="199">
        <f t="shared" si="1"/>
        <v>774585</v>
      </c>
      <c r="AO18" s="317">
        <v>0</v>
      </c>
      <c r="AP18" s="317">
        <v>0</v>
      </c>
      <c r="AQ18" s="317">
        <v>0</v>
      </c>
      <c r="AR18" s="317">
        <v>0</v>
      </c>
      <c r="AS18" s="317">
        <v>0</v>
      </c>
      <c r="AT18" s="317">
        <v>50000</v>
      </c>
      <c r="AU18" s="317">
        <f t="shared" si="3"/>
        <v>0</v>
      </c>
      <c r="AV18" s="317">
        <v>150000</v>
      </c>
      <c r="AW18" s="317">
        <v>463250</v>
      </c>
      <c r="AX18" s="317">
        <v>111335</v>
      </c>
      <c r="AY18" s="437">
        <v>0</v>
      </c>
      <c r="AZ18" s="1017">
        <v>215000</v>
      </c>
      <c r="BA18" s="352">
        <f t="shared" si="4"/>
        <v>30000</v>
      </c>
      <c r="BB18" s="348">
        <v>0</v>
      </c>
      <c r="BC18" s="339">
        <v>0</v>
      </c>
      <c r="BD18" s="339">
        <v>0</v>
      </c>
      <c r="BE18" s="339">
        <v>30000</v>
      </c>
      <c r="BF18" s="339">
        <v>0</v>
      </c>
      <c r="BG18" s="228">
        <v>0</v>
      </c>
      <c r="BH18" s="504">
        <v>0</v>
      </c>
      <c r="BI18" s="324" t="s">
        <v>518</v>
      </c>
      <c r="BJ18" s="462"/>
      <c r="BK18" s="479" t="s">
        <v>25</v>
      </c>
      <c r="BL18" s="284"/>
    </row>
    <row r="19" spans="1:64" s="194" customFormat="1" ht="81.75" customHeight="1" thickBot="1" x14ac:dyDescent="0.3">
      <c r="A19" s="213" t="s">
        <v>72</v>
      </c>
      <c r="B19" s="300">
        <v>1620</v>
      </c>
      <c r="C19" s="300">
        <v>699</v>
      </c>
      <c r="D19" s="301" t="s">
        <v>76</v>
      </c>
      <c r="E19" s="367">
        <v>31.169999999999998</v>
      </c>
      <c r="F19" s="368">
        <v>70</v>
      </c>
      <c r="G19" s="170">
        <v>10000000</v>
      </c>
      <c r="H19" s="394">
        <v>0.13</v>
      </c>
      <c r="I19" s="395">
        <v>0.77</v>
      </c>
      <c r="J19" s="395">
        <v>7.0000000000000007E-2</v>
      </c>
      <c r="K19" s="395">
        <v>0.03</v>
      </c>
      <c r="L19" s="396">
        <v>0</v>
      </c>
      <c r="M19" s="404">
        <v>0.5</v>
      </c>
      <c r="N19" s="405">
        <v>0.3</v>
      </c>
      <c r="O19" s="405">
        <v>0.15</v>
      </c>
      <c r="P19" s="405">
        <v>4.9999999999999996E-2</v>
      </c>
      <c r="Q19" s="406">
        <v>0</v>
      </c>
      <c r="R19" s="217">
        <f t="shared" si="0"/>
        <v>1095998.5549999999</v>
      </c>
      <c r="S19" s="318">
        <v>0</v>
      </c>
      <c r="T19" s="318">
        <v>106100</v>
      </c>
      <c r="U19" s="318">
        <v>0</v>
      </c>
      <c r="V19" s="318">
        <v>0</v>
      </c>
      <c r="W19" s="318">
        <v>0</v>
      </c>
      <c r="X19" s="318">
        <v>0</v>
      </c>
      <c r="Y19" s="318">
        <v>19968.64</v>
      </c>
      <c r="Z19" s="318">
        <v>568307.54999999981</v>
      </c>
      <c r="AA19" s="318">
        <v>264648.28000000003</v>
      </c>
      <c r="AB19" s="318">
        <v>136974.08499999999</v>
      </c>
      <c r="AC19" s="318">
        <v>0</v>
      </c>
      <c r="AD19" s="438">
        <v>0</v>
      </c>
      <c r="AE19" s="1018"/>
      <c r="AF19" s="309">
        <f t="shared" si="2"/>
        <v>50000</v>
      </c>
      <c r="AG19" s="340">
        <v>0</v>
      </c>
      <c r="AH19" s="340">
        <v>0</v>
      </c>
      <c r="AI19" s="340">
        <v>0</v>
      </c>
      <c r="AJ19" s="340">
        <v>0</v>
      </c>
      <c r="AK19" s="340">
        <v>0</v>
      </c>
      <c r="AL19" s="338">
        <v>0</v>
      </c>
      <c r="AM19" s="340">
        <v>50000</v>
      </c>
      <c r="AN19" s="217">
        <f t="shared" si="1"/>
        <v>2389500</v>
      </c>
      <c r="AO19" s="318">
        <v>0</v>
      </c>
      <c r="AP19" s="318">
        <v>0</v>
      </c>
      <c r="AQ19" s="318">
        <v>0</v>
      </c>
      <c r="AR19" s="318">
        <v>0</v>
      </c>
      <c r="AS19" s="318">
        <v>0</v>
      </c>
      <c r="AT19" s="318">
        <v>0</v>
      </c>
      <c r="AU19" s="318">
        <v>1320000</v>
      </c>
      <c r="AV19" s="318">
        <v>30000</v>
      </c>
      <c r="AW19" s="318">
        <v>1039500</v>
      </c>
      <c r="AX19" s="318">
        <v>0</v>
      </c>
      <c r="AY19" s="438">
        <v>0</v>
      </c>
      <c r="AZ19" s="1018"/>
      <c r="BA19" s="354">
        <f t="shared" si="4"/>
        <v>215000</v>
      </c>
      <c r="BB19" s="349">
        <v>0</v>
      </c>
      <c r="BC19" s="340">
        <v>0</v>
      </c>
      <c r="BD19" s="340">
        <v>0</v>
      </c>
      <c r="BE19" s="340">
        <v>0</v>
      </c>
      <c r="BF19" s="338">
        <v>0</v>
      </c>
      <c r="BG19" s="240">
        <v>215000</v>
      </c>
      <c r="BH19" s="506">
        <v>0</v>
      </c>
      <c r="BI19" s="357" t="s">
        <v>519</v>
      </c>
      <c r="BJ19" s="467" t="s">
        <v>520</v>
      </c>
      <c r="BK19" s="470" t="s">
        <v>25</v>
      </c>
      <c r="BL19" s="356" t="s">
        <v>521</v>
      </c>
    </row>
    <row r="20" spans="1:64" s="194" customFormat="1" ht="75.75" customHeight="1" thickBot="1" x14ac:dyDescent="0.3">
      <c r="A20" s="195" t="s">
        <v>79</v>
      </c>
      <c r="B20" s="297">
        <v>1710</v>
      </c>
      <c r="C20" s="297">
        <v>710</v>
      </c>
      <c r="D20" s="298" t="s">
        <v>80</v>
      </c>
      <c r="E20" s="365">
        <v>58.47</v>
      </c>
      <c r="F20" s="366">
        <v>44.33</v>
      </c>
      <c r="G20" s="170">
        <v>7000000</v>
      </c>
      <c r="H20" s="398">
        <v>0</v>
      </c>
      <c r="I20" s="399">
        <v>7.0000000000000007E-2</v>
      </c>
      <c r="J20" s="399">
        <v>0.27</v>
      </c>
      <c r="K20" s="399">
        <v>0.53</v>
      </c>
      <c r="L20" s="400">
        <v>0.13</v>
      </c>
      <c r="M20" s="398">
        <v>0.5</v>
      </c>
      <c r="N20" s="399">
        <v>0.3</v>
      </c>
      <c r="O20" s="399">
        <v>0.15</v>
      </c>
      <c r="P20" s="399">
        <v>4.9999999999999996E-2</v>
      </c>
      <c r="Q20" s="400">
        <v>0</v>
      </c>
      <c r="R20" s="199">
        <f t="shared" si="0"/>
        <v>3211233</v>
      </c>
      <c r="S20" s="314">
        <v>0</v>
      </c>
      <c r="T20" s="314">
        <v>0</v>
      </c>
      <c r="U20" s="314">
        <v>18800</v>
      </c>
      <c r="V20" s="314">
        <v>0</v>
      </c>
      <c r="W20" s="314">
        <v>3192433</v>
      </c>
      <c r="X20" s="314">
        <v>0</v>
      </c>
      <c r="Y20" s="314">
        <v>0</v>
      </c>
      <c r="Z20" s="314">
        <v>0</v>
      </c>
      <c r="AA20" s="314">
        <v>0</v>
      </c>
      <c r="AB20" s="314">
        <v>0</v>
      </c>
      <c r="AC20" s="314">
        <v>0</v>
      </c>
      <c r="AD20" s="434">
        <v>0</v>
      </c>
      <c r="AE20" s="1017">
        <v>28403.919999999995</v>
      </c>
      <c r="AF20" s="307">
        <f t="shared" si="2"/>
        <v>3534.6</v>
      </c>
      <c r="AG20" s="336">
        <v>0</v>
      </c>
      <c r="AH20" s="336">
        <v>0</v>
      </c>
      <c r="AI20" s="336">
        <v>3534.6</v>
      </c>
      <c r="AJ20" s="336">
        <v>0</v>
      </c>
      <c r="AK20" s="336">
        <v>0</v>
      </c>
      <c r="AL20" s="336">
        <v>0</v>
      </c>
      <c r="AM20" s="201">
        <v>0</v>
      </c>
      <c r="AN20" s="199">
        <f t="shared" si="1"/>
        <v>700000</v>
      </c>
      <c r="AO20" s="314">
        <v>0</v>
      </c>
      <c r="AP20" s="314">
        <v>700000</v>
      </c>
      <c r="AQ20" s="314">
        <v>0</v>
      </c>
      <c r="AR20" s="314">
        <v>0</v>
      </c>
      <c r="AS20" s="314">
        <v>0</v>
      </c>
      <c r="AT20" s="314">
        <v>0</v>
      </c>
      <c r="AU20" s="314">
        <f t="shared" si="3"/>
        <v>0</v>
      </c>
      <c r="AV20" s="314">
        <v>0</v>
      </c>
      <c r="AW20" s="314">
        <v>0</v>
      </c>
      <c r="AX20" s="314">
        <v>0</v>
      </c>
      <c r="AY20" s="434">
        <v>0</v>
      </c>
      <c r="AZ20" s="452">
        <v>7500</v>
      </c>
      <c r="BA20" s="352">
        <f t="shared" si="4"/>
        <v>7500</v>
      </c>
      <c r="BB20" s="345">
        <v>0</v>
      </c>
      <c r="BC20" s="336">
        <v>7500</v>
      </c>
      <c r="BD20" s="336">
        <v>0</v>
      </c>
      <c r="BE20" s="336">
        <v>0</v>
      </c>
      <c r="BF20" s="336">
        <v>0</v>
      </c>
      <c r="BG20" s="201">
        <v>0</v>
      </c>
      <c r="BH20" s="504">
        <v>0</v>
      </c>
      <c r="BI20" s="330" t="s">
        <v>472</v>
      </c>
      <c r="BJ20" s="466" t="s">
        <v>473</v>
      </c>
      <c r="BK20" s="473" t="s">
        <v>474</v>
      </c>
      <c r="BL20" s="279" t="s">
        <v>522</v>
      </c>
    </row>
    <row r="21" spans="1:64" s="194" customFormat="1" ht="45.75" thickBot="1" x14ac:dyDescent="0.3">
      <c r="A21" s="213" t="s">
        <v>79</v>
      </c>
      <c r="B21" s="300">
        <v>1720</v>
      </c>
      <c r="C21" s="300">
        <v>799</v>
      </c>
      <c r="D21" s="301" t="s">
        <v>83</v>
      </c>
      <c r="E21" s="367">
        <v>11.19</v>
      </c>
      <c r="F21" s="368">
        <v>17.189999999999998</v>
      </c>
      <c r="G21" s="171">
        <v>2220000</v>
      </c>
      <c r="H21" s="401">
        <v>0.45</v>
      </c>
      <c r="I21" s="402">
        <v>0.32</v>
      </c>
      <c r="J21" s="402">
        <v>7.0000000000000007E-2</v>
      </c>
      <c r="K21" s="402">
        <v>0.13</v>
      </c>
      <c r="L21" s="403">
        <v>0.03</v>
      </c>
      <c r="M21" s="404">
        <v>0.5</v>
      </c>
      <c r="N21" s="405">
        <v>0.3</v>
      </c>
      <c r="O21" s="405">
        <v>0.15</v>
      </c>
      <c r="P21" s="405">
        <v>4.9999999999999996E-2</v>
      </c>
      <c r="Q21" s="406">
        <v>0</v>
      </c>
      <c r="R21" s="217">
        <f t="shared" si="0"/>
        <v>286406</v>
      </c>
      <c r="S21" s="316">
        <v>0</v>
      </c>
      <c r="T21" s="316">
        <v>0</v>
      </c>
      <c r="U21" s="316">
        <v>0</v>
      </c>
      <c r="V21" s="316">
        <v>286406</v>
      </c>
      <c r="W21" s="316">
        <v>0</v>
      </c>
      <c r="X21" s="316">
        <v>0</v>
      </c>
      <c r="Y21" s="316">
        <v>0</v>
      </c>
      <c r="Z21" s="316">
        <v>0</v>
      </c>
      <c r="AA21" s="316">
        <v>0</v>
      </c>
      <c r="AB21" s="316">
        <v>0</v>
      </c>
      <c r="AC21" s="316">
        <v>0</v>
      </c>
      <c r="AD21" s="436">
        <v>0</v>
      </c>
      <c r="AE21" s="1018"/>
      <c r="AF21" s="309">
        <f t="shared" si="2"/>
        <v>26636.62</v>
      </c>
      <c r="AG21" s="338">
        <v>0</v>
      </c>
      <c r="AH21" s="338">
        <v>0</v>
      </c>
      <c r="AI21" s="338">
        <v>0</v>
      </c>
      <c r="AJ21" s="338">
        <v>26636.62</v>
      </c>
      <c r="AK21" s="338">
        <v>0</v>
      </c>
      <c r="AL21" s="338">
        <v>0</v>
      </c>
      <c r="AM21" s="219">
        <v>0</v>
      </c>
      <c r="AN21" s="217">
        <f t="shared" si="1"/>
        <v>500000</v>
      </c>
      <c r="AO21" s="316">
        <v>0</v>
      </c>
      <c r="AP21" s="316">
        <v>0</v>
      </c>
      <c r="AQ21" s="316">
        <v>500000</v>
      </c>
      <c r="AR21" s="316">
        <v>0</v>
      </c>
      <c r="AS21" s="316">
        <v>0</v>
      </c>
      <c r="AT21" s="316">
        <v>0</v>
      </c>
      <c r="AU21" s="316">
        <f t="shared" si="3"/>
        <v>0</v>
      </c>
      <c r="AV21" s="316">
        <v>0</v>
      </c>
      <c r="AW21" s="316">
        <v>0</v>
      </c>
      <c r="AX21" s="316">
        <v>0</v>
      </c>
      <c r="AY21" s="436">
        <v>0</v>
      </c>
      <c r="AZ21" s="453">
        <v>16000</v>
      </c>
      <c r="BA21" s="354">
        <f t="shared" si="4"/>
        <v>16000</v>
      </c>
      <c r="BB21" s="347">
        <v>0</v>
      </c>
      <c r="BC21" s="338">
        <v>0</v>
      </c>
      <c r="BD21" s="338">
        <v>16000</v>
      </c>
      <c r="BE21" s="338">
        <v>0</v>
      </c>
      <c r="BF21" s="338">
        <v>0</v>
      </c>
      <c r="BG21" s="219">
        <v>0</v>
      </c>
      <c r="BH21" s="506">
        <v>0</v>
      </c>
      <c r="BI21" s="331" t="s">
        <v>476</v>
      </c>
      <c r="BJ21" s="468" t="s">
        <v>435</v>
      </c>
      <c r="BK21" s="477" t="s">
        <v>523</v>
      </c>
      <c r="BL21" s="356" t="s">
        <v>524</v>
      </c>
    </row>
    <row r="22" spans="1:64" s="194" customFormat="1" ht="15.75" thickBot="1" x14ac:dyDescent="0.3">
      <c r="A22" s="185" t="s">
        <v>86</v>
      </c>
      <c r="B22" s="295">
        <v>1810</v>
      </c>
      <c r="C22" s="295">
        <v>899</v>
      </c>
      <c r="D22" s="296" t="s">
        <v>87</v>
      </c>
      <c r="E22" s="373">
        <v>11</v>
      </c>
      <c r="F22" s="374">
        <v>20</v>
      </c>
      <c r="G22" s="172">
        <v>2000000</v>
      </c>
      <c r="H22" s="404">
        <v>0.3</v>
      </c>
      <c r="I22" s="405">
        <v>0.39999999999999997</v>
      </c>
      <c r="J22" s="405">
        <v>0.19999999999999998</v>
      </c>
      <c r="K22" s="405">
        <v>9.9999999999999992E-2</v>
      </c>
      <c r="L22" s="406">
        <v>0</v>
      </c>
      <c r="M22" s="407">
        <v>0.5</v>
      </c>
      <c r="N22" s="408">
        <v>0.3</v>
      </c>
      <c r="O22" s="408">
        <v>0.19999999999999998</v>
      </c>
      <c r="P22" s="408">
        <v>0</v>
      </c>
      <c r="Q22" s="409">
        <v>0</v>
      </c>
      <c r="R22" s="186">
        <f t="shared" si="0"/>
        <v>0</v>
      </c>
      <c r="S22" s="319">
        <v>0</v>
      </c>
      <c r="T22" s="319">
        <v>0</v>
      </c>
      <c r="U22" s="319">
        <v>0</v>
      </c>
      <c r="V22" s="319">
        <v>0</v>
      </c>
      <c r="W22" s="319">
        <v>0</v>
      </c>
      <c r="X22" s="319">
        <v>0</v>
      </c>
      <c r="Y22" s="319">
        <v>0</v>
      </c>
      <c r="Z22" s="319">
        <v>0</v>
      </c>
      <c r="AA22" s="319">
        <v>0</v>
      </c>
      <c r="AB22" s="319">
        <v>0</v>
      </c>
      <c r="AC22" s="319">
        <v>0</v>
      </c>
      <c r="AD22" s="440">
        <v>0</v>
      </c>
      <c r="AE22" s="445">
        <f>4706.89+112568.22</f>
        <v>117275.11</v>
      </c>
      <c r="AF22" s="306">
        <f t="shared" si="2"/>
        <v>62000</v>
      </c>
      <c r="AG22" s="341">
        <v>0</v>
      </c>
      <c r="AH22" s="341">
        <v>0</v>
      </c>
      <c r="AI22" s="341">
        <v>0</v>
      </c>
      <c r="AJ22" s="341">
        <v>0</v>
      </c>
      <c r="AK22" s="341">
        <v>62000</v>
      </c>
      <c r="AL22" s="341">
        <v>0</v>
      </c>
      <c r="AM22" s="342">
        <v>0</v>
      </c>
      <c r="AN22" s="186">
        <f t="shared" si="1"/>
        <v>580000</v>
      </c>
      <c r="AO22" s="319">
        <v>0</v>
      </c>
      <c r="AP22" s="319">
        <v>0</v>
      </c>
      <c r="AQ22" s="319">
        <v>0</v>
      </c>
      <c r="AR22" s="319">
        <v>0</v>
      </c>
      <c r="AS22" s="319">
        <v>80000</v>
      </c>
      <c r="AT22" s="319">
        <v>0</v>
      </c>
      <c r="AU22" s="319">
        <v>500000</v>
      </c>
      <c r="AV22" s="319">
        <v>0</v>
      </c>
      <c r="AW22" s="319">
        <v>0</v>
      </c>
      <c r="AX22" s="319">
        <v>0</v>
      </c>
      <c r="AY22" s="440">
        <v>0</v>
      </c>
      <c r="AZ22" s="445">
        <v>339285</v>
      </c>
      <c r="BA22" s="351">
        <f t="shared" si="4"/>
        <v>137000</v>
      </c>
      <c r="BB22" s="355">
        <v>0</v>
      </c>
      <c r="BC22" s="341">
        <v>0</v>
      </c>
      <c r="BD22" s="341">
        <v>0</v>
      </c>
      <c r="BE22" s="341">
        <v>137000</v>
      </c>
      <c r="BF22" s="338">
        <v>0</v>
      </c>
      <c r="BG22" s="342">
        <v>0</v>
      </c>
      <c r="BH22" s="503">
        <v>0</v>
      </c>
      <c r="BI22" s="332"/>
      <c r="BJ22" s="469" t="s">
        <v>435</v>
      </c>
      <c r="BK22" s="481" t="s">
        <v>25</v>
      </c>
      <c r="BL22" s="285"/>
    </row>
    <row r="23" spans="1:64" s="262" customFormat="1" ht="19.5" thickBot="1" x14ac:dyDescent="0.3">
      <c r="A23" s="261"/>
      <c r="B23" s="261"/>
      <c r="C23" s="261"/>
      <c r="D23" s="261"/>
      <c r="G23" s="263">
        <f>SUM(G3:G22)</f>
        <v>490905000</v>
      </c>
      <c r="H23" s="1000">
        <f>SUM(H3:L22)</f>
        <v>19.999999999999993</v>
      </c>
      <c r="I23" s="1001"/>
      <c r="J23" s="1001"/>
      <c r="K23" s="1001"/>
      <c r="L23" s="1002"/>
      <c r="M23" s="1000">
        <f>SUM(M3:Q22)</f>
        <v>20</v>
      </c>
      <c r="N23" s="1001"/>
      <c r="O23" s="1001"/>
      <c r="P23" s="1001"/>
      <c r="Q23" s="1002"/>
      <c r="R23" s="264">
        <f>SUM(R3:R22)</f>
        <v>22037514.919999998</v>
      </c>
      <c r="S23" s="267">
        <f t="shared" ref="S23:AD23" si="5">SUM(S3:S22)</f>
        <v>1629207.57</v>
      </c>
      <c r="T23" s="267">
        <f t="shared" si="5"/>
        <v>106100</v>
      </c>
      <c r="U23" s="267">
        <f t="shared" si="5"/>
        <v>18800</v>
      </c>
      <c r="V23" s="267">
        <f t="shared" si="5"/>
        <v>286406</v>
      </c>
      <c r="W23" s="267">
        <f t="shared" si="5"/>
        <v>3192433</v>
      </c>
      <c r="X23" s="267">
        <f t="shared" si="5"/>
        <v>178779</v>
      </c>
      <c r="Y23" s="267">
        <f t="shared" si="5"/>
        <v>2921964.4400000004</v>
      </c>
      <c r="Z23" s="267">
        <f t="shared" si="5"/>
        <v>4950732.0000000009</v>
      </c>
      <c r="AA23" s="267">
        <f t="shared" si="5"/>
        <v>2167173.25</v>
      </c>
      <c r="AB23" s="267">
        <f t="shared" si="5"/>
        <v>1386421.6599999997</v>
      </c>
      <c r="AC23" s="267">
        <f t="shared" si="5"/>
        <v>5199498</v>
      </c>
      <c r="AD23" s="441">
        <f t="shared" si="5"/>
        <v>0</v>
      </c>
      <c r="AE23" s="442">
        <f>SUM(AE3:AE22)</f>
        <v>2738144.04</v>
      </c>
      <c r="AF23" s="334">
        <f>SUM(AF3:AF22)</f>
        <v>2591884.86</v>
      </c>
      <c r="AG23" s="267">
        <f>SUM(AG3:AG22)</f>
        <v>563000</v>
      </c>
      <c r="AH23" s="267">
        <f t="shared" ref="AH23:AM23" si="6">SUM(AH3:AH22)</f>
        <v>16713.64</v>
      </c>
      <c r="AI23" s="267">
        <f t="shared" si="6"/>
        <v>3534.6</v>
      </c>
      <c r="AJ23" s="267">
        <f t="shared" si="6"/>
        <v>26636.62</v>
      </c>
      <c r="AK23" s="267">
        <f t="shared" si="6"/>
        <v>1162000</v>
      </c>
      <c r="AL23" s="267">
        <f t="shared" si="6"/>
        <v>590000</v>
      </c>
      <c r="AM23" s="343">
        <f t="shared" si="6"/>
        <v>230000</v>
      </c>
      <c r="AN23" s="264">
        <f>SUM(AN3:AN22)</f>
        <v>22692394</v>
      </c>
      <c r="AO23" s="267">
        <f t="shared" ref="AO23:BA23" si="7">SUM(AO3:AO22)</f>
        <v>1602000</v>
      </c>
      <c r="AP23" s="267">
        <f t="shared" si="7"/>
        <v>700000</v>
      </c>
      <c r="AQ23" s="267">
        <f t="shared" si="7"/>
        <v>500000</v>
      </c>
      <c r="AR23" s="267">
        <f t="shared" si="7"/>
        <v>0</v>
      </c>
      <c r="AS23" s="267">
        <f t="shared" si="7"/>
        <v>140000</v>
      </c>
      <c r="AT23" s="267">
        <f t="shared" si="7"/>
        <v>872000</v>
      </c>
      <c r="AU23" s="267">
        <f>SUM(AU3:AU22)</f>
        <v>15020000</v>
      </c>
      <c r="AV23" s="267">
        <f t="shared" si="7"/>
        <v>525000</v>
      </c>
      <c r="AW23" s="267">
        <f t="shared" si="7"/>
        <v>2335000</v>
      </c>
      <c r="AX23" s="267">
        <f t="shared" si="7"/>
        <v>928394</v>
      </c>
      <c r="AY23" s="441">
        <f t="shared" si="7"/>
        <v>70000</v>
      </c>
      <c r="AZ23" s="442">
        <f>SUM(AZ3:AZ22)</f>
        <v>3138785</v>
      </c>
      <c r="BA23" s="266">
        <f t="shared" si="7"/>
        <v>3017500</v>
      </c>
      <c r="BB23" s="350">
        <f>SUM(BB3:BB22)</f>
        <v>585000</v>
      </c>
      <c r="BC23" s="267">
        <f t="shared" ref="BC23:BG23" si="8">SUM(BC3:BC22)</f>
        <v>7500</v>
      </c>
      <c r="BD23" s="267">
        <f t="shared" si="8"/>
        <v>16000</v>
      </c>
      <c r="BE23" s="267">
        <f t="shared" si="8"/>
        <v>1107000</v>
      </c>
      <c r="BF23" s="267">
        <f t="shared" si="8"/>
        <v>867000</v>
      </c>
      <c r="BG23" s="343">
        <f t="shared" si="8"/>
        <v>435000</v>
      </c>
      <c r="BH23" s="502"/>
    </row>
    <row r="24" spans="1:64" ht="15.75" thickBot="1" x14ac:dyDescent="0.3">
      <c r="A24" s="2"/>
      <c r="B24" s="2"/>
      <c r="C24" s="2"/>
      <c r="D24" s="2"/>
    </row>
    <row r="25" spans="1:64" ht="30" customHeight="1" thickBot="1" x14ac:dyDescent="0.3">
      <c r="A25" s="2"/>
      <c r="B25" s="2"/>
      <c r="C25" s="2"/>
      <c r="D25" s="2"/>
      <c r="E25" s="985" t="s">
        <v>88</v>
      </c>
      <c r="F25" s="986"/>
      <c r="G25" s="986"/>
      <c r="H25" s="986"/>
      <c r="I25" s="986"/>
      <c r="J25" s="986"/>
      <c r="K25" s="986"/>
      <c r="L25" s="987"/>
      <c r="M25" s="1020" t="s">
        <v>480</v>
      </c>
      <c r="N25" s="1021"/>
      <c r="O25" s="1021"/>
      <c r="P25" s="1021"/>
      <c r="Q25" s="1022"/>
      <c r="R25" s="428">
        <v>21448966</v>
      </c>
      <c r="S25" s="430">
        <v>1629208</v>
      </c>
      <c r="T25" s="431">
        <v>105935</v>
      </c>
      <c r="U25" s="431">
        <v>18800</v>
      </c>
      <c r="V25" s="431">
        <v>286406</v>
      </c>
      <c r="W25" s="431">
        <v>3192433</v>
      </c>
      <c r="X25" s="431">
        <v>178779</v>
      </c>
      <c r="Y25" s="431">
        <v>2921964</v>
      </c>
      <c r="Z25" s="431">
        <v>4950732</v>
      </c>
      <c r="AA25" s="431">
        <v>2167173</v>
      </c>
      <c r="AB25" s="431">
        <v>1386422</v>
      </c>
      <c r="AC25" s="431">
        <v>4611115</v>
      </c>
      <c r="AD25" s="432">
        <v>0</v>
      </c>
      <c r="AE25" s="446"/>
      <c r="AF25" s="447"/>
      <c r="AG25" s="416"/>
      <c r="AH25" s="416"/>
      <c r="AI25" s="416"/>
      <c r="AJ25" s="416"/>
      <c r="AK25" s="416"/>
      <c r="AL25" s="416"/>
      <c r="AM25" s="416"/>
      <c r="AN25" s="428">
        <v>22804000</v>
      </c>
      <c r="AO25" s="448">
        <v>1632000</v>
      </c>
      <c r="AP25" s="449">
        <v>700000</v>
      </c>
      <c r="AQ25" s="449">
        <v>500000</v>
      </c>
      <c r="AR25" s="449">
        <v>0</v>
      </c>
      <c r="AS25" s="449">
        <v>200000</v>
      </c>
      <c r="AT25" s="449">
        <v>872000</v>
      </c>
      <c r="AU25" s="449">
        <v>15020000</v>
      </c>
      <c r="AV25" s="449">
        <v>525000</v>
      </c>
      <c r="AW25" s="449">
        <v>2335000</v>
      </c>
      <c r="AX25" s="449">
        <v>950000</v>
      </c>
      <c r="AY25" s="450">
        <v>70000</v>
      </c>
      <c r="AZ25" s="447"/>
      <c r="BA25" s="447"/>
      <c r="BB25" s="416"/>
      <c r="BC25" s="416"/>
      <c r="BD25" s="416"/>
      <c r="BE25" s="416"/>
      <c r="BF25" s="416"/>
      <c r="BG25" s="416"/>
    </row>
    <row r="26" spans="1:64" ht="15.75" thickBot="1" x14ac:dyDescent="0.3">
      <c r="A26" s="2"/>
      <c r="B26" s="2"/>
      <c r="C26" s="2"/>
      <c r="D26" s="2"/>
      <c r="E26" s="425"/>
      <c r="F26" s="426"/>
      <c r="G26" s="426"/>
      <c r="H26" s="426"/>
      <c r="I26" s="426"/>
      <c r="J26" s="426"/>
      <c r="K26" s="426"/>
      <c r="L26" s="427"/>
    </row>
    <row r="27" spans="1:64" ht="15.75" thickBot="1" x14ac:dyDescent="0.3">
      <c r="A27" s="2"/>
      <c r="B27" s="2"/>
      <c r="C27" s="2"/>
      <c r="D27" s="2"/>
      <c r="E27" s="423"/>
      <c r="F27" s="410"/>
      <c r="G27" s="424" t="s">
        <v>525</v>
      </c>
      <c r="H27" s="421"/>
      <c r="I27" s="421"/>
      <c r="J27" s="421"/>
      <c r="K27" s="421"/>
      <c r="L27" s="422"/>
    </row>
    <row r="28" spans="1:64" ht="15.75" thickBot="1" x14ac:dyDescent="0.3">
      <c r="A28" s="2"/>
      <c r="B28" s="2"/>
      <c r="C28" s="2"/>
      <c r="D28" s="429"/>
      <c r="E28" s="423"/>
      <c r="F28" s="421"/>
      <c r="G28" s="421"/>
      <c r="H28" s="421"/>
      <c r="I28" s="421"/>
      <c r="J28" s="421"/>
      <c r="K28" s="421"/>
      <c r="L28" s="422"/>
    </row>
    <row r="29" spans="1:64" ht="15.75" thickBot="1" x14ac:dyDescent="0.3">
      <c r="A29" s="2"/>
      <c r="B29" s="2"/>
      <c r="C29" s="2"/>
      <c r="D29" s="429"/>
      <c r="E29" s="423"/>
      <c r="F29" s="134"/>
      <c r="G29" s="420" t="s">
        <v>526</v>
      </c>
      <c r="H29" s="421"/>
      <c r="I29" s="421"/>
      <c r="J29" s="421"/>
      <c r="K29" s="421"/>
      <c r="L29" s="422"/>
    </row>
    <row r="30" spans="1:64" ht="15.75" thickBot="1" x14ac:dyDescent="0.3">
      <c r="A30" s="2"/>
      <c r="B30" s="2"/>
      <c r="C30" s="2"/>
      <c r="D30" s="429"/>
      <c r="E30" s="423"/>
      <c r="F30" s="421"/>
      <c r="G30" s="421"/>
      <c r="H30" s="421"/>
      <c r="I30" s="421"/>
      <c r="J30" s="421"/>
      <c r="K30" s="421"/>
      <c r="L30" s="422"/>
    </row>
    <row r="31" spans="1:64" ht="15.75" thickBot="1" x14ac:dyDescent="0.3">
      <c r="A31" s="2"/>
      <c r="B31" s="2"/>
      <c r="C31" s="2"/>
      <c r="D31" s="429"/>
      <c r="E31" s="423"/>
      <c r="F31" s="135"/>
      <c r="G31" s="420" t="s">
        <v>527</v>
      </c>
      <c r="H31" s="421"/>
      <c r="I31" s="421"/>
      <c r="J31" s="421"/>
      <c r="K31" s="421"/>
      <c r="L31" s="422"/>
    </row>
    <row r="32" spans="1:64" ht="15.75" thickBot="1" x14ac:dyDescent="0.3">
      <c r="A32" s="2"/>
      <c r="B32" s="2"/>
      <c r="C32" s="2"/>
      <c r="D32" s="2"/>
      <c r="E32" s="417"/>
      <c r="F32" s="418"/>
      <c r="G32" s="418"/>
      <c r="H32" s="418"/>
      <c r="I32" s="418"/>
      <c r="J32" s="418"/>
      <c r="K32" s="418"/>
      <c r="L32" s="419"/>
    </row>
    <row r="33" spans="1:4" x14ac:dyDescent="0.25">
      <c r="A33" s="2"/>
      <c r="B33" s="2"/>
      <c r="C33" s="2"/>
      <c r="D33" s="2"/>
    </row>
    <row r="34" spans="1:4" x14ac:dyDescent="0.25">
      <c r="A34" s="2"/>
      <c r="B34" s="2"/>
      <c r="C34" s="2"/>
      <c r="D34" s="2"/>
    </row>
  </sheetData>
  <mergeCells count="28">
    <mergeCell ref="BH1:BH2"/>
    <mergeCell ref="BI1:BK1"/>
    <mergeCell ref="BL1:BL2"/>
    <mergeCell ref="M1:Q1"/>
    <mergeCell ref="R1:AM1"/>
    <mergeCell ref="AN1:BG1"/>
    <mergeCell ref="A1:D1"/>
    <mergeCell ref="E1:E2"/>
    <mergeCell ref="F1:F2"/>
    <mergeCell ref="G1:G2"/>
    <mergeCell ref="H1:L1"/>
    <mergeCell ref="E25:L25"/>
    <mergeCell ref="AE4:AE6"/>
    <mergeCell ref="AE7:AE9"/>
    <mergeCell ref="AE10:AE13"/>
    <mergeCell ref="AE14:AE15"/>
    <mergeCell ref="AE16:AE17"/>
    <mergeCell ref="AE18:AE19"/>
    <mergeCell ref="AE20:AE21"/>
    <mergeCell ref="M25:Q25"/>
    <mergeCell ref="H23:L23"/>
    <mergeCell ref="M23:Q23"/>
    <mergeCell ref="AZ18:AZ19"/>
    <mergeCell ref="AZ4:AZ6"/>
    <mergeCell ref="AZ7:AZ9"/>
    <mergeCell ref="AZ10:AZ13"/>
    <mergeCell ref="AZ14:AZ15"/>
    <mergeCell ref="AZ16:AZ17"/>
  </mergeCells>
  <phoneticPr fontId="12" type="noConversion"/>
  <pageMargins left="0.70866141732283472" right="0.70866141732283472" top="0.74803149606299213" bottom="0.74803149606299213" header="0.31496062992125984" footer="0.31496062992125984"/>
  <pageSetup paperSize="8" scale="50" fitToWidth="3" orientation="landscape" r:id="rId1"/>
  <colBreaks count="2" manualBreakCount="2">
    <brk id="17" max="29" man="1"/>
    <brk id="39" max="29"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7">
    <tabColor rgb="FFFF0000"/>
    <pageSetUpPr fitToPage="1"/>
  </sheetPr>
  <dimension ref="A1:AK28"/>
  <sheetViews>
    <sheetView zoomScale="60" zoomScaleNormal="60" workbookViewId="0">
      <pane xSplit="4" ySplit="2" topLeftCell="E6" activePane="bottomRight" state="frozen"/>
      <selection pane="topRight" activeCell="C1" sqref="C1"/>
      <selection pane="bottomLeft" activeCell="A3" sqref="A3"/>
      <selection pane="bottomRight" activeCell="D13" sqref="D13"/>
    </sheetView>
  </sheetViews>
  <sheetFormatPr baseColWidth="10" defaultColWidth="11.42578125" defaultRowHeight="15" outlineLevelCol="1" x14ac:dyDescent="0.25"/>
  <cols>
    <col min="1" max="1" width="40.5703125" style="1" bestFit="1" customWidth="1"/>
    <col min="2" max="2" width="12.140625" style="1" customWidth="1"/>
    <col min="3" max="3" width="10.42578125" style="1" bestFit="1" customWidth="1"/>
    <col min="4" max="4" width="42.42578125" style="1" bestFit="1" customWidth="1"/>
    <col min="5" max="5" width="8" style="1" bestFit="1" customWidth="1"/>
    <col min="6" max="6" width="10" style="1" customWidth="1"/>
    <col min="7" max="7" width="21.5703125" style="1" bestFit="1" customWidth="1"/>
    <col min="8" max="17" width="6.85546875" style="1" bestFit="1" customWidth="1"/>
    <col min="18" max="18" width="17.5703125" style="1" bestFit="1" customWidth="1"/>
    <col min="19" max="21" width="17.5703125" style="1" hidden="1" customWidth="1" outlineLevel="1"/>
    <col min="22" max="23" width="15.42578125" style="1" hidden="1" customWidth="1" outlineLevel="1"/>
    <col min="24" max="24" width="17.5703125" style="1" hidden="1" customWidth="1" outlineLevel="1"/>
    <col min="25" max="25" width="17.5703125" style="1" bestFit="1" customWidth="1" collapsed="1"/>
    <col min="26" max="26" width="19" style="1" bestFit="1" customWidth="1"/>
    <col min="27" max="32" width="17.5703125" style="1" hidden="1" customWidth="1" outlineLevel="1"/>
    <col min="33" max="33" width="17.5703125" style="1" bestFit="1" customWidth="1" collapsed="1"/>
    <col min="34" max="34" width="6.85546875" style="1" bestFit="1" customWidth="1"/>
    <col min="35" max="35" width="61" style="1" bestFit="1" customWidth="1"/>
    <col min="36" max="36" width="56.85546875" style="1" bestFit="1" customWidth="1"/>
    <col min="37" max="37" width="97.140625" style="1" bestFit="1" customWidth="1"/>
    <col min="38" max="16384" width="11.42578125" style="1"/>
  </cols>
  <sheetData>
    <row r="1" spans="1:37" ht="62.25" thickBot="1" x14ac:dyDescent="0.3">
      <c r="A1" s="1035" t="s">
        <v>528</v>
      </c>
      <c r="B1" s="1036"/>
      <c r="C1" s="1036"/>
      <c r="D1" s="1037"/>
      <c r="E1" s="976" t="s">
        <v>0</v>
      </c>
      <c r="F1" s="978" t="s">
        <v>1</v>
      </c>
      <c r="G1" s="980" t="s">
        <v>2</v>
      </c>
      <c r="H1" s="1010" t="s">
        <v>3</v>
      </c>
      <c r="I1" s="1011"/>
      <c r="J1" s="1011"/>
      <c r="K1" s="1011"/>
      <c r="L1" s="1012"/>
      <c r="M1" s="1010" t="s">
        <v>4</v>
      </c>
      <c r="N1" s="1011"/>
      <c r="O1" s="1011"/>
      <c r="P1" s="1011"/>
      <c r="Q1" s="1012"/>
      <c r="R1" s="1026" t="s">
        <v>529</v>
      </c>
      <c r="S1" s="1027"/>
      <c r="T1" s="1027"/>
      <c r="U1" s="1027"/>
      <c r="V1" s="1027"/>
      <c r="W1" s="1027"/>
      <c r="X1" s="1027"/>
      <c r="Y1" s="1027"/>
      <c r="Z1" s="1026" t="s">
        <v>530</v>
      </c>
      <c r="AA1" s="1027"/>
      <c r="AB1" s="1027"/>
      <c r="AC1" s="1027"/>
      <c r="AD1" s="1027"/>
      <c r="AE1" s="1027"/>
      <c r="AF1" s="1027"/>
      <c r="AG1" s="1028"/>
      <c r="AH1" s="990" t="s">
        <v>5</v>
      </c>
      <c r="AI1" s="1010" t="s">
        <v>531</v>
      </c>
      <c r="AJ1" s="1031"/>
      <c r="AK1" s="1029" t="s">
        <v>532</v>
      </c>
    </row>
    <row r="2" spans="1:37" s="3" customFormat="1" ht="98.25" customHeight="1" thickBot="1" x14ac:dyDescent="0.3">
      <c r="A2" s="12" t="s">
        <v>271</v>
      </c>
      <c r="B2" s="293" t="s">
        <v>8</v>
      </c>
      <c r="C2" s="293" t="s">
        <v>9</v>
      </c>
      <c r="D2" s="13" t="s">
        <v>272</v>
      </c>
      <c r="E2" s="977"/>
      <c r="F2" s="979"/>
      <c r="G2" s="981"/>
      <c r="H2" s="268" t="s">
        <v>11</v>
      </c>
      <c r="I2" s="269" t="s">
        <v>12</v>
      </c>
      <c r="J2" s="269" t="s">
        <v>13</v>
      </c>
      <c r="K2" s="269" t="s">
        <v>14</v>
      </c>
      <c r="L2" s="270" t="s">
        <v>15</v>
      </c>
      <c r="M2" s="268" t="s">
        <v>11</v>
      </c>
      <c r="N2" s="269" t="s">
        <v>12</v>
      </c>
      <c r="O2" s="269" t="s">
        <v>13</v>
      </c>
      <c r="P2" s="269" t="s">
        <v>14</v>
      </c>
      <c r="Q2" s="270" t="s">
        <v>15</v>
      </c>
      <c r="R2" s="275" t="s">
        <v>431</v>
      </c>
      <c r="S2" s="271" t="s">
        <v>533</v>
      </c>
      <c r="T2" s="271" t="s">
        <v>534</v>
      </c>
      <c r="U2" s="271" t="s">
        <v>535</v>
      </c>
      <c r="V2" s="271" t="s">
        <v>536</v>
      </c>
      <c r="W2" s="271" t="s">
        <v>537</v>
      </c>
      <c r="X2" s="271" t="s">
        <v>538</v>
      </c>
      <c r="Y2" s="272" t="s">
        <v>17</v>
      </c>
      <c r="Z2" s="275" t="s">
        <v>431</v>
      </c>
      <c r="AA2" s="271" t="s">
        <v>533</v>
      </c>
      <c r="AB2" s="271" t="s">
        <v>534</v>
      </c>
      <c r="AC2" s="271" t="s">
        <v>535</v>
      </c>
      <c r="AD2" s="271" t="s">
        <v>536</v>
      </c>
      <c r="AE2" s="271" t="s">
        <v>537</v>
      </c>
      <c r="AF2" s="271" t="s">
        <v>538</v>
      </c>
      <c r="AG2" s="272" t="s">
        <v>17</v>
      </c>
      <c r="AH2" s="991"/>
      <c r="AI2" s="273" t="s">
        <v>539</v>
      </c>
      <c r="AJ2" s="274" t="s">
        <v>17</v>
      </c>
      <c r="AK2" s="1030"/>
    </row>
    <row r="3" spans="1:37" s="194" customFormat="1" ht="60.75" thickBot="1" x14ac:dyDescent="0.3">
      <c r="A3" s="185" t="s">
        <v>21</v>
      </c>
      <c r="B3" s="294" t="s">
        <v>22</v>
      </c>
      <c r="C3" s="295">
        <v>99</v>
      </c>
      <c r="D3" s="296" t="s">
        <v>23</v>
      </c>
      <c r="E3" s="173">
        <v>35</v>
      </c>
      <c r="F3" s="174">
        <v>70</v>
      </c>
      <c r="G3" s="168">
        <v>50500000</v>
      </c>
      <c r="H3" s="138">
        <v>9.9999999999999992E-2</v>
      </c>
      <c r="I3" s="139">
        <v>0.25</v>
      </c>
      <c r="J3" s="139">
        <v>0.25</v>
      </c>
      <c r="K3" s="139">
        <v>0.3</v>
      </c>
      <c r="L3" s="140">
        <v>9.9999999999999992E-2</v>
      </c>
      <c r="M3" s="138">
        <v>0.44999999999999996</v>
      </c>
      <c r="N3" s="139">
        <v>0.35</v>
      </c>
      <c r="O3" s="139">
        <v>9.9999999999999992E-2</v>
      </c>
      <c r="P3" s="139">
        <v>9.9999999999999992E-2</v>
      </c>
      <c r="Q3" s="140">
        <v>0</v>
      </c>
      <c r="R3" s="186">
        <f>SUM(S3:X3)</f>
        <v>260000</v>
      </c>
      <c r="S3" s="187">
        <v>100000</v>
      </c>
      <c r="T3" s="187"/>
      <c r="U3" s="187">
        <v>156000</v>
      </c>
      <c r="V3" s="187"/>
      <c r="W3" s="187">
        <v>4000</v>
      </c>
      <c r="X3" s="187"/>
      <c r="Y3" s="188">
        <v>220000</v>
      </c>
      <c r="Z3" s="186">
        <f>SUM(AA3:AF3)</f>
        <v>205000</v>
      </c>
      <c r="AA3" s="187">
        <v>10000</v>
      </c>
      <c r="AB3" s="187"/>
      <c r="AC3" s="189">
        <f>35000</f>
        <v>35000</v>
      </c>
      <c r="AD3" s="187"/>
      <c r="AE3" s="187">
        <v>25000</v>
      </c>
      <c r="AF3" s="187">
        <v>135000</v>
      </c>
      <c r="AG3" s="190">
        <v>135000</v>
      </c>
      <c r="AH3" s="191">
        <v>0</v>
      </c>
      <c r="AI3" s="192" t="s">
        <v>540</v>
      </c>
      <c r="AJ3" s="193" t="s">
        <v>541</v>
      </c>
      <c r="AK3" s="278" t="s">
        <v>542</v>
      </c>
    </row>
    <row r="4" spans="1:37" s="194" customFormat="1" ht="30" x14ac:dyDescent="0.25">
      <c r="A4" s="195" t="s">
        <v>26</v>
      </c>
      <c r="B4" s="297">
        <v>1110</v>
      </c>
      <c r="C4" s="297">
        <v>110</v>
      </c>
      <c r="D4" s="298" t="s">
        <v>27</v>
      </c>
      <c r="E4" s="175">
        <v>69</v>
      </c>
      <c r="F4" s="176">
        <v>100</v>
      </c>
      <c r="G4" s="169">
        <v>4210000</v>
      </c>
      <c r="H4" s="196">
        <v>0.12</v>
      </c>
      <c r="I4" s="197">
        <v>0.78999999999999992</v>
      </c>
      <c r="J4" s="197">
        <v>0.09</v>
      </c>
      <c r="K4" s="197">
        <v>0</v>
      </c>
      <c r="L4" s="198">
        <v>0</v>
      </c>
      <c r="M4" s="141">
        <v>0.5</v>
      </c>
      <c r="N4" s="142">
        <v>0.3</v>
      </c>
      <c r="O4" s="142">
        <v>0.15</v>
      </c>
      <c r="P4" s="142">
        <v>4.9999999999999996E-2</v>
      </c>
      <c r="Q4" s="163">
        <v>0</v>
      </c>
      <c r="R4" s="199">
        <f t="shared" ref="R4:R20" si="0">SUM(S4:X4)</f>
        <v>170000</v>
      </c>
      <c r="S4" s="200">
        <f>130000</f>
        <v>130000</v>
      </c>
      <c r="T4" s="200"/>
      <c r="U4" s="200">
        <v>40000</v>
      </c>
      <c r="V4" s="200"/>
      <c r="W4" s="200"/>
      <c r="X4" s="200"/>
      <c r="Y4" s="201">
        <v>20000</v>
      </c>
      <c r="Z4" s="199">
        <f t="shared" ref="Z4:Z20" si="1">SUM(AA4:AF4)</f>
        <v>540000</v>
      </c>
      <c r="AA4" s="200">
        <v>540000</v>
      </c>
      <c r="AB4" s="200"/>
      <c r="AC4" s="200"/>
      <c r="AD4" s="200"/>
      <c r="AE4" s="200"/>
      <c r="AF4" s="200"/>
      <c r="AG4" s="201">
        <v>40000</v>
      </c>
      <c r="AH4" s="202">
        <v>0</v>
      </c>
      <c r="AI4" s="203" t="s">
        <v>543</v>
      </c>
      <c r="AJ4" s="289" t="s">
        <v>544</v>
      </c>
      <c r="AK4" s="279"/>
    </row>
    <row r="5" spans="1:37" s="194" customFormat="1" ht="30" x14ac:dyDescent="0.25">
      <c r="A5" s="204" t="s">
        <v>26</v>
      </c>
      <c r="B5" s="292">
        <v>1120</v>
      </c>
      <c r="C5" s="292">
        <v>120</v>
      </c>
      <c r="D5" s="299" t="s">
        <v>30</v>
      </c>
      <c r="E5" s="175">
        <v>110</v>
      </c>
      <c r="F5" s="176">
        <v>150</v>
      </c>
      <c r="G5" s="169">
        <v>114070000</v>
      </c>
      <c r="H5" s="205">
        <v>0</v>
      </c>
      <c r="I5" s="206">
        <v>0.94</v>
      </c>
      <c r="J5" s="206">
        <v>0.06</v>
      </c>
      <c r="K5" s="206">
        <v>0</v>
      </c>
      <c r="L5" s="207">
        <v>0</v>
      </c>
      <c r="M5" s="143">
        <v>0.5</v>
      </c>
      <c r="N5" s="144">
        <v>0.3</v>
      </c>
      <c r="O5" s="144">
        <v>0.15</v>
      </c>
      <c r="P5" s="144">
        <v>4.9999999999999996E-2</v>
      </c>
      <c r="Q5" s="164">
        <v>0</v>
      </c>
      <c r="R5" s="208">
        <f t="shared" si="0"/>
        <v>88000</v>
      </c>
      <c r="S5" s="209">
        <f>70000+18000</f>
        <v>88000</v>
      </c>
      <c r="T5" s="209"/>
      <c r="U5" s="209"/>
      <c r="V5" s="209"/>
      <c r="W5" s="209"/>
      <c r="X5" s="209"/>
      <c r="Y5" s="210">
        <v>20000</v>
      </c>
      <c r="Z5" s="208">
        <f t="shared" si="1"/>
        <v>130000</v>
      </c>
      <c r="AA5" s="209">
        <v>130000</v>
      </c>
      <c r="AB5" s="209"/>
      <c r="AC5" s="209"/>
      <c r="AD5" s="209"/>
      <c r="AE5" s="209"/>
      <c r="AF5" s="209"/>
      <c r="AG5" s="210">
        <v>40000</v>
      </c>
      <c r="AH5" s="211">
        <v>0</v>
      </c>
      <c r="AI5" s="212" t="s">
        <v>545</v>
      </c>
      <c r="AJ5" s="290" t="s">
        <v>544</v>
      </c>
      <c r="AK5" s="280"/>
    </row>
    <row r="6" spans="1:37" s="194" customFormat="1" ht="30.75" thickBot="1" x14ac:dyDescent="0.3">
      <c r="A6" s="213" t="s">
        <v>26</v>
      </c>
      <c r="B6" s="300">
        <v>1130</v>
      </c>
      <c r="C6" s="300">
        <v>199</v>
      </c>
      <c r="D6" s="301" t="s">
        <v>31</v>
      </c>
      <c r="E6" s="175">
        <v>69</v>
      </c>
      <c r="F6" s="176">
        <v>100</v>
      </c>
      <c r="G6" s="169">
        <v>29620000</v>
      </c>
      <c r="H6" s="214">
        <v>7.0000000000000007E-2</v>
      </c>
      <c r="I6" s="215">
        <v>0.5</v>
      </c>
      <c r="J6" s="215">
        <v>0.43</v>
      </c>
      <c r="K6" s="215">
        <v>0</v>
      </c>
      <c r="L6" s="216">
        <v>0</v>
      </c>
      <c r="M6" s="145">
        <v>0.5</v>
      </c>
      <c r="N6" s="146">
        <v>0.3</v>
      </c>
      <c r="O6" s="146">
        <v>0.15</v>
      </c>
      <c r="P6" s="146">
        <v>4.9999999999999996E-2</v>
      </c>
      <c r="Q6" s="165">
        <v>0</v>
      </c>
      <c r="R6" s="217">
        <f t="shared" si="0"/>
        <v>665000</v>
      </c>
      <c r="S6" s="218">
        <f>6000+60000+13000+10000+10000+5000+10000+5000+10000+9000+16000+35000+400000+58000-10000</f>
        <v>637000</v>
      </c>
      <c r="T6" s="218"/>
      <c r="U6" s="218"/>
      <c r="V6" s="218">
        <v>12000</v>
      </c>
      <c r="W6" s="218"/>
      <c r="X6" s="218">
        <v>16000</v>
      </c>
      <c r="Y6" s="219">
        <v>170000</v>
      </c>
      <c r="Z6" s="217">
        <f t="shared" si="1"/>
        <v>950000</v>
      </c>
      <c r="AA6" s="218">
        <f>36000+110000+130000+27000+90000+26000+100000+125000+60000+50000+35000+20000+30000+26000</f>
        <v>865000</v>
      </c>
      <c r="AB6" s="218"/>
      <c r="AC6" s="218"/>
      <c r="AD6" s="218"/>
      <c r="AE6" s="218">
        <v>85000</v>
      </c>
      <c r="AF6" s="218"/>
      <c r="AG6" s="219">
        <f>28000+100000+95000+35000</f>
        <v>258000</v>
      </c>
      <c r="AH6" s="220">
        <v>0</v>
      </c>
      <c r="AI6" s="221" t="s">
        <v>546</v>
      </c>
      <c r="AJ6" s="291" t="s">
        <v>544</v>
      </c>
      <c r="AK6" s="281"/>
    </row>
    <row r="7" spans="1:37" s="194" customFormat="1" ht="75" x14ac:dyDescent="0.25">
      <c r="A7" s="195" t="s">
        <v>34</v>
      </c>
      <c r="B7" s="297">
        <v>1210</v>
      </c>
      <c r="C7" s="297">
        <v>210</v>
      </c>
      <c r="D7" s="298" t="s">
        <v>35</v>
      </c>
      <c r="E7" s="177">
        <v>33</v>
      </c>
      <c r="F7" s="178">
        <v>30</v>
      </c>
      <c r="G7" s="170">
        <v>45000000</v>
      </c>
      <c r="H7" s="147">
        <v>9.9999999999999992E-2</v>
      </c>
      <c r="I7" s="148">
        <v>9.9999999999999992E-2</v>
      </c>
      <c r="J7" s="148">
        <v>9.9999999999999992E-2</v>
      </c>
      <c r="K7" s="148">
        <v>0.39999999999999997</v>
      </c>
      <c r="L7" s="223">
        <v>0.3</v>
      </c>
      <c r="M7" s="147">
        <v>0.5</v>
      </c>
      <c r="N7" s="148">
        <v>0.3</v>
      </c>
      <c r="O7" s="148">
        <v>0.15</v>
      </c>
      <c r="P7" s="148">
        <v>4.9999999999999996E-2</v>
      </c>
      <c r="Q7" s="149">
        <v>0</v>
      </c>
      <c r="R7" s="224">
        <f t="shared" si="0"/>
        <v>1615000</v>
      </c>
      <c r="S7" s="225"/>
      <c r="T7" s="225">
        <v>30000</v>
      </c>
      <c r="U7" s="225">
        <v>660000</v>
      </c>
      <c r="V7" s="225">
        <v>20000</v>
      </c>
      <c r="W7" s="225">
        <v>157000</v>
      </c>
      <c r="X7" s="225">
        <v>748000</v>
      </c>
      <c r="Y7" s="226">
        <f>640000+715000</f>
        <v>1355000</v>
      </c>
      <c r="Z7" s="224">
        <f t="shared" si="1"/>
        <v>701000</v>
      </c>
      <c r="AA7" s="225"/>
      <c r="AB7" s="225">
        <v>30000</v>
      </c>
      <c r="AC7" s="227">
        <f>141000</f>
        <v>141000</v>
      </c>
      <c r="AD7" s="225">
        <v>100000</v>
      </c>
      <c r="AE7" s="225">
        <v>155000</v>
      </c>
      <c r="AF7" s="225">
        <v>275000</v>
      </c>
      <c r="AG7" s="228">
        <v>1310000</v>
      </c>
      <c r="AH7" s="202">
        <v>0</v>
      </c>
      <c r="AI7" s="229" t="s">
        <v>547</v>
      </c>
      <c r="AJ7" s="230" t="s">
        <v>495</v>
      </c>
      <c r="AK7" s="279" t="s">
        <v>496</v>
      </c>
    </row>
    <row r="8" spans="1:37" s="194" customFormat="1" ht="45" x14ac:dyDescent="0.25">
      <c r="A8" s="204" t="s">
        <v>34</v>
      </c>
      <c r="B8" s="292">
        <v>1220</v>
      </c>
      <c r="C8" s="292">
        <v>220</v>
      </c>
      <c r="D8" s="299" t="s">
        <v>39</v>
      </c>
      <c r="E8" s="179">
        <v>33</v>
      </c>
      <c r="F8" s="180">
        <v>30</v>
      </c>
      <c r="G8" s="169">
        <v>18900000</v>
      </c>
      <c r="H8" s="150">
        <v>0.25</v>
      </c>
      <c r="I8" s="151">
        <v>0.25</v>
      </c>
      <c r="J8" s="151">
        <v>0.3</v>
      </c>
      <c r="K8" s="151">
        <v>9.9999999999999992E-2</v>
      </c>
      <c r="L8" s="231">
        <v>9.9999999999999992E-2</v>
      </c>
      <c r="M8" s="150">
        <v>0.5</v>
      </c>
      <c r="N8" s="151">
        <v>0.3</v>
      </c>
      <c r="O8" s="151">
        <v>0.15</v>
      </c>
      <c r="P8" s="151">
        <v>4.9999999999999996E-2</v>
      </c>
      <c r="Q8" s="152">
        <v>0</v>
      </c>
      <c r="R8" s="208">
        <f t="shared" si="0"/>
        <v>265000</v>
      </c>
      <c r="S8" s="209"/>
      <c r="T8" s="209">
        <v>57000</v>
      </c>
      <c r="U8" s="209">
        <v>85000</v>
      </c>
      <c r="V8" s="209"/>
      <c r="W8" s="209"/>
      <c r="X8" s="209">
        <v>123000</v>
      </c>
      <c r="Y8" s="232">
        <f>185000+480000</f>
        <v>665000</v>
      </c>
      <c r="Z8" s="208">
        <f t="shared" si="1"/>
        <v>545000</v>
      </c>
      <c r="AA8" s="209"/>
      <c r="AB8" s="209">
        <v>400000</v>
      </c>
      <c r="AC8" s="233">
        <f>70000</f>
        <v>70000</v>
      </c>
      <c r="AD8" s="209"/>
      <c r="AE8" s="209"/>
      <c r="AF8" s="209">
        <v>75000</v>
      </c>
      <c r="AG8" s="210">
        <v>660000</v>
      </c>
      <c r="AH8" s="211">
        <v>0</v>
      </c>
      <c r="AI8" s="234" t="s">
        <v>548</v>
      </c>
      <c r="AJ8" s="235" t="s">
        <v>336</v>
      </c>
      <c r="AK8" s="280" t="s">
        <v>498</v>
      </c>
    </row>
    <row r="9" spans="1:37" s="194" customFormat="1" ht="45.75" thickBot="1" x14ac:dyDescent="0.3">
      <c r="A9" s="213" t="s">
        <v>34</v>
      </c>
      <c r="B9" s="300">
        <v>1230</v>
      </c>
      <c r="C9" s="300">
        <v>299</v>
      </c>
      <c r="D9" s="301" t="s">
        <v>42</v>
      </c>
      <c r="E9" s="181">
        <v>33</v>
      </c>
      <c r="F9" s="182">
        <v>30</v>
      </c>
      <c r="G9" s="171">
        <v>28200000</v>
      </c>
      <c r="H9" s="150">
        <v>9.9999999999999992E-2</v>
      </c>
      <c r="I9" s="151">
        <v>0.15</v>
      </c>
      <c r="J9" s="151">
        <v>9.9999999999999992E-2</v>
      </c>
      <c r="K9" s="151">
        <v>0.39999999999999997</v>
      </c>
      <c r="L9" s="231">
        <v>0.25</v>
      </c>
      <c r="M9" s="150">
        <v>0.5</v>
      </c>
      <c r="N9" s="151">
        <v>0.3</v>
      </c>
      <c r="O9" s="151">
        <v>0.15</v>
      </c>
      <c r="P9" s="151">
        <v>4.9999999999999996E-2</v>
      </c>
      <c r="Q9" s="152">
        <v>0</v>
      </c>
      <c r="R9" s="236">
        <f t="shared" si="0"/>
        <v>212000</v>
      </c>
      <c r="S9" s="237"/>
      <c r="T9" s="237"/>
      <c r="U9" s="237">
        <v>65000</v>
      </c>
      <c r="V9" s="237"/>
      <c r="W9" s="237"/>
      <c r="X9" s="237">
        <f>72000+75000</f>
        <v>147000</v>
      </c>
      <c r="Y9" s="238">
        <f>40000+160000</f>
        <v>200000</v>
      </c>
      <c r="Z9" s="236">
        <f t="shared" si="1"/>
        <v>50000</v>
      </c>
      <c r="AA9" s="237"/>
      <c r="AB9" s="237"/>
      <c r="AC9" s="239"/>
      <c r="AD9" s="237"/>
      <c r="AE9" s="237"/>
      <c r="AF9" s="237">
        <v>50000</v>
      </c>
      <c r="AG9" s="240">
        <v>200000</v>
      </c>
      <c r="AH9" s="220">
        <v>0</v>
      </c>
      <c r="AI9" s="241"/>
      <c r="AJ9" s="242" t="s">
        <v>549</v>
      </c>
      <c r="AK9" s="283" t="s">
        <v>501</v>
      </c>
    </row>
    <row r="10" spans="1:37" s="194" customFormat="1" ht="45" x14ac:dyDescent="0.25">
      <c r="A10" s="195" t="s">
        <v>45</v>
      </c>
      <c r="B10" s="297">
        <v>1310</v>
      </c>
      <c r="C10" s="297">
        <v>310</v>
      </c>
      <c r="D10" s="298" t="s">
        <v>46</v>
      </c>
      <c r="E10" s="177">
        <v>45</v>
      </c>
      <c r="F10" s="178">
        <v>60</v>
      </c>
      <c r="G10" s="170">
        <v>27000000</v>
      </c>
      <c r="H10" s="153">
        <v>9.9999999999999992E-2</v>
      </c>
      <c r="I10" s="154">
        <v>0</v>
      </c>
      <c r="J10" s="154">
        <v>0.39999999999999997</v>
      </c>
      <c r="K10" s="154">
        <v>0.3</v>
      </c>
      <c r="L10" s="155">
        <v>0.19999999999999998</v>
      </c>
      <c r="M10" s="153">
        <v>0.3</v>
      </c>
      <c r="N10" s="154">
        <v>0.5</v>
      </c>
      <c r="O10" s="154">
        <v>0.19999999999999998</v>
      </c>
      <c r="P10" s="154">
        <v>0</v>
      </c>
      <c r="Q10" s="155">
        <v>0</v>
      </c>
      <c r="R10" s="199">
        <f t="shared" si="0"/>
        <v>465000</v>
      </c>
      <c r="S10" s="200"/>
      <c r="T10" s="200"/>
      <c r="U10" s="200">
        <v>445000</v>
      </c>
      <c r="V10" s="200">
        <v>20000</v>
      </c>
      <c r="W10" s="200"/>
      <c r="X10" s="200"/>
      <c r="Y10" s="201">
        <v>200000</v>
      </c>
      <c r="Z10" s="199">
        <f t="shared" si="1"/>
        <v>505000</v>
      </c>
      <c r="AA10" s="200"/>
      <c r="AB10" s="200">
        <v>50000</v>
      </c>
      <c r="AC10" s="243">
        <f>115000</f>
        <v>115000</v>
      </c>
      <c r="AD10" s="200">
        <v>100000</v>
      </c>
      <c r="AE10" s="200">
        <v>40000</v>
      </c>
      <c r="AF10" s="200">
        <v>200000</v>
      </c>
      <c r="AG10" s="201">
        <v>517000</v>
      </c>
      <c r="AH10" s="202">
        <v>0</v>
      </c>
      <c r="AI10" s="244" t="s">
        <v>550</v>
      </c>
      <c r="AJ10" s="245" t="s">
        <v>551</v>
      </c>
      <c r="AK10" s="282" t="s">
        <v>504</v>
      </c>
    </row>
    <row r="11" spans="1:37" s="194" customFormat="1" ht="60.75" thickBot="1" x14ac:dyDescent="0.3">
      <c r="A11" s="213" t="s">
        <v>45</v>
      </c>
      <c r="B11" s="302" t="s">
        <v>49</v>
      </c>
      <c r="C11" s="300">
        <v>399</v>
      </c>
      <c r="D11" s="301" t="s">
        <v>56</v>
      </c>
      <c r="E11" s="181">
        <v>34</v>
      </c>
      <c r="F11" s="182">
        <v>40</v>
      </c>
      <c r="G11" s="171">
        <f>8400000+285000</f>
        <v>8685000</v>
      </c>
      <c r="H11" s="156">
        <v>0.19999999999999998</v>
      </c>
      <c r="I11" s="157">
        <v>0</v>
      </c>
      <c r="J11" s="157">
        <v>0.3</v>
      </c>
      <c r="K11" s="157">
        <v>0.3</v>
      </c>
      <c r="L11" s="158">
        <v>0.19999999999999998</v>
      </c>
      <c r="M11" s="156">
        <v>0.3</v>
      </c>
      <c r="N11" s="157">
        <v>0.5</v>
      </c>
      <c r="O11" s="157">
        <v>0.19999999999999998</v>
      </c>
      <c r="P11" s="157">
        <v>0</v>
      </c>
      <c r="Q11" s="158">
        <v>0</v>
      </c>
      <c r="R11" s="217">
        <f t="shared" si="0"/>
        <v>688000</v>
      </c>
      <c r="S11" s="218"/>
      <c r="T11" s="218">
        <v>593000</v>
      </c>
      <c r="U11" s="218">
        <v>95000</v>
      </c>
      <c r="V11" s="218"/>
      <c r="W11" s="218"/>
      <c r="X11" s="218"/>
      <c r="Y11" s="219">
        <v>40000</v>
      </c>
      <c r="Z11" s="217">
        <f t="shared" si="1"/>
        <v>2350000</v>
      </c>
      <c r="AA11" s="218"/>
      <c r="AB11" s="218">
        <v>2300000</v>
      </c>
      <c r="AC11" s="218"/>
      <c r="AD11" s="218"/>
      <c r="AE11" s="218">
        <v>0</v>
      </c>
      <c r="AF11" s="218">
        <v>50000</v>
      </c>
      <c r="AG11" s="219">
        <v>50000</v>
      </c>
      <c r="AH11" s="220">
        <v>0</v>
      </c>
      <c r="AI11" s="246" t="s">
        <v>552</v>
      </c>
      <c r="AJ11" s="247" t="s">
        <v>553</v>
      </c>
      <c r="AK11" s="283" t="s">
        <v>554</v>
      </c>
    </row>
    <row r="12" spans="1:37" s="194" customFormat="1" ht="90" x14ac:dyDescent="0.25">
      <c r="A12" s="195" t="s">
        <v>59</v>
      </c>
      <c r="B12" s="297">
        <v>1410</v>
      </c>
      <c r="C12" s="297">
        <v>410</v>
      </c>
      <c r="D12" s="303" t="s">
        <v>60</v>
      </c>
      <c r="E12" s="177">
        <v>28</v>
      </c>
      <c r="F12" s="178">
        <v>40</v>
      </c>
      <c r="G12" s="170">
        <v>90000000</v>
      </c>
      <c r="H12" s="153">
        <v>0.19999999999999998</v>
      </c>
      <c r="I12" s="154">
        <v>0.15</v>
      </c>
      <c r="J12" s="154">
        <v>0.25</v>
      </c>
      <c r="K12" s="154">
        <v>0.19999999999999998</v>
      </c>
      <c r="L12" s="155">
        <v>0.19999999999999998</v>
      </c>
      <c r="M12" s="153">
        <v>0.5</v>
      </c>
      <c r="N12" s="154">
        <v>0.3</v>
      </c>
      <c r="O12" s="154">
        <v>0.19999999999999998</v>
      </c>
      <c r="P12" s="154">
        <v>0</v>
      </c>
      <c r="Q12" s="155">
        <v>0</v>
      </c>
      <c r="R12" s="224">
        <f t="shared" si="0"/>
        <v>630000</v>
      </c>
      <c r="S12" s="225"/>
      <c r="T12" s="225"/>
      <c r="U12" s="225">
        <v>360000</v>
      </c>
      <c r="V12" s="225"/>
      <c r="W12" s="225">
        <v>270000</v>
      </c>
      <c r="X12" s="225"/>
      <c r="Y12" s="226">
        <v>135000</v>
      </c>
      <c r="Z12" s="224">
        <f t="shared" si="1"/>
        <v>4500000</v>
      </c>
      <c r="AA12" s="225"/>
      <c r="AB12" s="225"/>
      <c r="AC12" s="225">
        <f>780000</f>
        <v>780000</v>
      </c>
      <c r="AD12" s="225">
        <v>50000</v>
      </c>
      <c r="AE12" s="225">
        <v>3400000</v>
      </c>
      <c r="AF12" s="225">
        <v>270000</v>
      </c>
      <c r="AG12" s="228">
        <v>112000</v>
      </c>
      <c r="AH12" s="202">
        <v>0</v>
      </c>
      <c r="AI12" s="246" t="s">
        <v>555</v>
      </c>
      <c r="AJ12" s="230" t="s">
        <v>556</v>
      </c>
      <c r="AK12" s="282" t="s">
        <v>557</v>
      </c>
    </row>
    <row r="13" spans="1:37" s="194" customFormat="1" ht="105.75" thickBot="1" x14ac:dyDescent="0.3">
      <c r="A13" s="213" t="s">
        <v>59</v>
      </c>
      <c r="B13" s="300">
        <v>1420</v>
      </c>
      <c r="C13" s="300">
        <v>499</v>
      </c>
      <c r="D13" s="301" t="s">
        <v>63</v>
      </c>
      <c r="E13" s="181">
        <v>20</v>
      </c>
      <c r="F13" s="182">
        <v>30</v>
      </c>
      <c r="G13" s="171">
        <v>20500000</v>
      </c>
      <c r="H13" s="156">
        <v>0.3</v>
      </c>
      <c r="I13" s="157">
        <v>0.19999999999999998</v>
      </c>
      <c r="J13" s="157">
        <v>0.19999999999999998</v>
      </c>
      <c r="K13" s="157">
        <v>9.9999999999999992E-2</v>
      </c>
      <c r="L13" s="158">
        <v>0.19999999999999998</v>
      </c>
      <c r="M13" s="156">
        <v>0.39999999999999997</v>
      </c>
      <c r="N13" s="157">
        <v>0.35</v>
      </c>
      <c r="O13" s="157">
        <v>0.25</v>
      </c>
      <c r="P13" s="157">
        <v>0</v>
      </c>
      <c r="Q13" s="158">
        <v>0</v>
      </c>
      <c r="R13" s="236">
        <f t="shared" si="0"/>
        <v>424000</v>
      </c>
      <c r="S13" s="237">
        <v>73000</v>
      </c>
      <c r="T13" s="237">
        <v>136000</v>
      </c>
      <c r="U13" s="237">
        <v>180000</v>
      </c>
      <c r="V13" s="237"/>
      <c r="W13" s="237"/>
      <c r="X13" s="237">
        <v>35000</v>
      </c>
      <c r="Y13" s="238">
        <v>100000</v>
      </c>
      <c r="Z13" s="236">
        <f t="shared" si="1"/>
        <v>2995000</v>
      </c>
      <c r="AA13" s="237">
        <v>35000</v>
      </c>
      <c r="AB13" s="237">
        <v>450000</v>
      </c>
      <c r="AC13" s="237">
        <f>385000</f>
        <v>385000</v>
      </c>
      <c r="AD13" s="237"/>
      <c r="AE13" s="237">
        <f>2000000+45000</f>
        <v>2045000</v>
      </c>
      <c r="AF13" s="237">
        <v>80000</v>
      </c>
      <c r="AG13" s="240">
        <v>56000</v>
      </c>
      <c r="AH13" s="220">
        <v>0</v>
      </c>
      <c r="AI13" s="248" t="s">
        <v>558</v>
      </c>
      <c r="AJ13" s="242" t="s">
        <v>559</v>
      </c>
      <c r="AK13" s="283" t="s">
        <v>560</v>
      </c>
    </row>
    <row r="14" spans="1:37" s="194" customFormat="1" ht="30" x14ac:dyDescent="0.25">
      <c r="A14" s="276" t="s">
        <v>66</v>
      </c>
      <c r="B14" s="304">
        <v>1510</v>
      </c>
      <c r="C14" s="297">
        <v>510</v>
      </c>
      <c r="D14" s="298" t="s">
        <v>67</v>
      </c>
      <c r="E14" s="177">
        <v>30</v>
      </c>
      <c r="F14" s="178">
        <v>40</v>
      </c>
      <c r="G14" s="170">
        <v>1500000</v>
      </c>
      <c r="H14" s="153">
        <v>0.19999999999999998</v>
      </c>
      <c r="I14" s="154">
        <v>0.25</v>
      </c>
      <c r="J14" s="154">
        <v>0.25</v>
      </c>
      <c r="K14" s="154">
        <v>0.19999999999999998</v>
      </c>
      <c r="L14" s="155">
        <v>9.9999999999999992E-2</v>
      </c>
      <c r="M14" s="153">
        <v>0.44999999999999996</v>
      </c>
      <c r="N14" s="154">
        <v>0.35</v>
      </c>
      <c r="O14" s="154">
        <v>9.9999999999999992E-2</v>
      </c>
      <c r="P14" s="154">
        <v>9.9999999999999992E-2</v>
      </c>
      <c r="Q14" s="155">
        <v>0</v>
      </c>
      <c r="R14" s="199">
        <f t="shared" si="0"/>
        <v>130000</v>
      </c>
      <c r="S14" s="200"/>
      <c r="T14" s="200">
        <v>10000</v>
      </c>
      <c r="U14" s="200">
        <v>120000</v>
      </c>
      <c r="V14" s="200"/>
      <c r="W14" s="200">
        <v>0</v>
      </c>
      <c r="X14" s="200"/>
      <c r="Y14" s="201">
        <v>50000</v>
      </c>
      <c r="Z14" s="199">
        <f t="shared" si="1"/>
        <v>320000</v>
      </c>
      <c r="AA14" s="200">
        <v>60000</v>
      </c>
      <c r="AB14" s="200"/>
      <c r="AC14" s="200">
        <f>10000</f>
        <v>10000</v>
      </c>
      <c r="AD14" s="200">
        <v>70000</v>
      </c>
      <c r="AE14" s="200">
        <v>30000</v>
      </c>
      <c r="AF14" s="200">
        <v>150000</v>
      </c>
      <c r="AG14" s="201">
        <v>80000</v>
      </c>
      <c r="AH14" s="202">
        <v>0</v>
      </c>
      <c r="AI14" s="249" t="s">
        <v>561</v>
      </c>
      <c r="AJ14" s="250" t="s">
        <v>435</v>
      </c>
      <c r="AK14" s="279" t="s">
        <v>562</v>
      </c>
    </row>
    <row r="15" spans="1:37" s="194" customFormat="1" ht="45.75" thickBot="1" x14ac:dyDescent="0.3">
      <c r="A15" s="277" t="s">
        <v>66</v>
      </c>
      <c r="B15" s="302">
        <v>1520</v>
      </c>
      <c r="C15" s="300">
        <v>599</v>
      </c>
      <c r="D15" s="305" t="s">
        <v>70</v>
      </c>
      <c r="E15" s="181">
        <v>30</v>
      </c>
      <c r="F15" s="182">
        <v>40</v>
      </c>
      <c r="G15" s="171">
        <v>1500000</v>
      </c>
      <c r="H15" s="156">
        <v>0.19999999999999998</v>
      </c>
      <c r="I15" s="157">
        <v>0.25</v>
      </c>
      <c r="J15" s="157">
        <v>0.25</v>
      </c>
      <c r="K15" s="157">
        <v>0.19999999999999998</v>
      </c>
      <c r="L15" s="158">
        <v>9.9999999999999992E-2</v>
      </c>
      <c r="M15" s="159">
        <v>0.5</v>
      </c>
      <c r="N15" s="160">
        <v>0.3</v>
      </c>
      <c r="O15" s="160">
        <v>0.15</v>
      </c>
      <c r="P15" s="160">
        <v>4.9999999999999996E-2</v>
      </c>
      <c r="Q15" s="166">
        <v>0</v>
      </c>
      <c r="R15" s="217">
        <f t="shared" si="0"/>
        <v>90000</v>
      </c>
      <c r="S15" s="218"/>
      <c r="T15" s="218">
        <v>90000</v>
      </c>
      <c r="U15" s="218"/>
      <c r="V15" s="218"/>
      <c r="W15" s="218">
        <v>0</v>
      </c>
      <c r="X15" s="218"/>
      <c r="Y15" s="219">
        <v>10000</v>
      </c>
      <c r="Z15" s="217">
        <f t="shared" si="1"/>
        <v>87000</v>
      </c>
      <c r="AA15" s="218"/>
      <c r="AB15" s="218">
        <v>20000</v>
      </c>
      <c r="AC15" s="218">
        <f>5000</f>
        <v>5000</v>
      </c>
      <c r="AD15" s="218"/>
      <c r="AE15" s="218">
        <v>0</v>
      </c>
      <c r="AF15" s="218">
        <v>62000</v>
      </c>
      <c r="AG15" s="219">
        <v>20000</v>
      </c>
      <c r="AH15" s="220">
        <v>0</v>
      </c>
      <c r="AI15" s="251" t="s">
        <v>563</v>
      </c>
      <c r="AJ15" s="222" t="s">
        <v>435</v>
      </c>
      <c r="AK15" s="281"/>
    </row>
    <row r="16" spans="1:37" s="194" customFormat="1" ht="30" x14ac:dyDescent="0.25">
      <c r="A16" s="195" t="s">
        <v>72</v>
      </c>
      <c r="B16" s="297">
        <v>1610</v>
      </c>
      <c r="C16" s="297">
        <v>610</v>
      </c>
      <c r="D16" s="298" t="s">
        <v>73</v>
      </c>
      <c r="E16" s="177">
        <v>52</v>
      </c>
      <c r="F16" s="178">
        <v>80</v>
      </c>
      <c r="G16" s="170">
        <v>35000000</v>
      </c>
      <c r="H16" s="150">
        <v>9.9999999999999992E-2</v>
      </c>
      <c r="I16" s="151">
        <v>9.9999999999999992E-2</v>
      </c>
      <c r="J16" s="151">
        <v>0.15</v>
      </c>
      <c r="K16" s="151">
        <v>0.39999999999999997</v>
      </c>
      <c r="L16" s="231">
        <v>0.25</v>
      </c>
      <c r="M16" s="153">
        <v>0.5</v>
      </c>
      <c r="N16" s="154">
        <v>0.3</v>
      </c>
      <c r="O16" s="154">
        <v>0.15</v>
      </c>
      <c r="P16" s="154">
        <v>4.9999999999999996E-2</v>
      </c>
      <c r="Q16" s="155">
        <v>0</v>
      </c>
      <c r="R16" s="224">
        <f t="shared" si="0"/>
        <v>1712000</v>
      </c>
      <c r="S16" s="225"/>
      <c r="T16" s="225">
        <v>100000</v>
      </c>
      <c r="U16" s="225">
        <v>1230000</v>
      </c>
      <c r="V16" s="225">
        <v>100000</v>
      </c>
      <c r="W16" s="225">
        <v>105000</v>
      </c>
      <c r="X16" s="225">
        <f>33000+94000+105000+50000-105000</f>
        <v>177000</v>
      </c>
      <c r="Y16" s="226">
        <v>300000</v>
      </c>
      <c r="Z16" s="224">
        <f t="shared" si="1"/>
        <v>2675000</v>
      </c>
      <c r="AA16" s="225"/>
      <c r="AB16" s="225">
        <v>300000</v>
      </c>
      <c r="AC16" s="225">
        <f>125000+180000+200000+60000</f>
        <v>565000</v>
      </c>
      <c r="AD16" s="225">
        <v>680000</v>
      </c>
      <c r="AE16" s="225">
        <v>155000</v>
      </c>
      <c r="AF16" s="225">
        <f>945000+30000</f>
        <v>975000</v>
      </c>
      <c r="AG16" s="228">
        <v>300000</v>
      </c>
      <c r="AH16" s="202">
        <v>0</v>
      </c>
      <c r="AI16" s="229" t="s">
        <v>564</v>
      </c>
      <c r="AJ16" s="252" t="s">
        <v>565</v>
      </c>
      <c r="AK16" s="284" t="s">
        <v>566</v>
      </c>
    </row>
    <row r="17" spans="1:37" s="194" customFormat="1" ht="15.75" thickBot="1" x14ac:dyDescent="0.3">
      <c r="A17" s="213" t="s">
        <v>72</v>
      </c>
      <c r="B17" s="300">
        <v>1620</v>
      </c>
      <c r="C17" s="300">
        <v>699</v>
      </c>
      <c r="D17" s="301" t="s">
        <v>76</v>
      </c>
      <c r="E17" s="181">
        <v>52</v>
      </c>
      <c r="F17" s="182">
        <v>80</v>
      </c>
      <c r="G17" s="171">
        <v>15000000</v>
      </c>
      <c r="H17" s="150">
        <v>9.9999999999999992E-2</v>
      </c>
      <c r="I17" s="151">
        <v>9.9999999999999992E-2</v>
      </c>
      <c r="J17" s="151">
        <v>0.15</v>
      </c>
      <c r="K17" s="151">
        <v>0.39999999999999997</v>
      </c>
      <c r="L17" s="231">
        <v>0.25</v>
      </c>
      <c r="M17" s="159">
        <v>0.5</v>
      </c>
      <c r="N17" s="160">
        <v>0.3</v>
      </c>
      <c r="O17" s="160">
        <v>0.15</v>
      </c>
      <c r="P17" s="160">
        <v>4.9999999999999996E-2</v>
      </c>
      <c r="Q17" s="166">
        <v>0</v>
      </c>
      <c r="R17" s="236">
        <f t="shared" si="0"/>
        <v>100000</v>
      </c>
      <c r="S17" s="237"/>
      <c r="T17" s="237"/>
      <c r="U17" s="237">
        <v>100000</v>
      </c>
      <c r="V17" s="237"/>
      <c r="W17" s="237">
        <v>0</v>
      </c>
      <c r="X17" s="237"/>
      <c r="Y17" s="238">
        <v>55000</v>
      </c>
      <c r="Z17" s="236">
        <f t="shared" si="1"/>
        <v>50000</v>
      </c>
      <c r="AA17" s="237"/>
      <c r="AB17" s="237">
        <v>20000</v>
      </c>
      <c r="AC17" s="237"/>
      <c r="AD17" s="237"/>
      <c r="AE17" s="237"/>
      <c r="AF17" s="237">
        <v>30000</v>
      </c>
      <c r="AG17" s="240">
        <v>50000</v>
      </c>
      <c r="AH17" s="220">
        <v>0</v>
      </c>
      <c r="AI17" s="241" t="s">
        <v>567</v>
      </c>
      <c r="AJ17" s="286" t="s">
        <v>435</v>
      </c>
      <c r="AK17" s="281"/>
    </row>
    <row r="18" spans="1:37" s="194" customFormat="1" x14ac:dyDescent="0.25">
      <c r="A18" s="195" t="s">
        <v>79</v>
      </c>
      <c r="B18" s="297">
        <v>1710</v>
      </c>
      <c r="C18" s="297">
        <v>710</v>
      </c>
      <c r="D18" s="298" t="s">
        <v>80</v>
      </c>
      <c r="E18" s="177">
        <v>30</v>
      </c>
      <c r="F18" s="178">
        <v>35</v>
      </c>
      <c r="G18" s="170">
        <v>7000000</v>
      </c>
      <c r="H18" s="153">
        <v>9.9999999999999992E-2</v>
      </c>
      <c r="I18" s="154">
        <v>0.25</v>
      </c>
      <c r="J18" s="154">
        <v>0.19999999999999998</v>
      </c>
      <c r="K18" s="154">
        <v>0.25</v>
      </c>
      <c r="L18" s="155">
        <v>0.19999999999999998</v>
      </c>
      <c r="M18" s="153">
        <v>0.5</v>
      </c>
      <c r="N18" s="154">
        <v>0.3</v>
      </c>
      <c r="O18" s="154">
        <v>0.15</v>
      </c>
      <c r="P18" s="154">
        <v>4.9999999999999996E-2</v>
      </c>
      <c r="Q18" s="155">
        <v>0</v>
      </c>
      <c r="R18" s="199">
        <f t="shared" si="0"/>
        <v>11000</v>
      </c>
      <c r="S18" s="200"/>
      <c r="T18" s="200"/>
      <c r="U18" s="200"/>
      <c r="V18" s="200"/>
      <c r="W18" s="200">
        <v>0</v>
      </c>
      <c r="X18" s="200">
        <v>11000</v>
      </c>
      <c r="Y18" s="201">
        <v>120000</v>
      </c>
      <c r="Z18" s="199">
        <f t="shared" si="1"/>
        <v>773000</v>
      </c>
      <c r="AA18" s="200"/>
      <c r="AB18" s="200"/>
      <c r="AC18" s="200"/>
      <c r="AD18" s="200"/>
      <c r="AE18" s="200"/>
      <c r="AF18" s="200">
        <f>3123000-AF19</f>
        <v>773000</v>
      </c>
      <c r="AG18" s="201">
        <v>100000</v>
      </c>
      <c r="AH18" s="202">
        <v>0</v>
      </c>
      <c r="AI18" s="249" t="s">
        <v>568</v>
      </c>
      <c r="AJ18" s="250" t="s">
        <v>435</v>
      </c>
      <c r="AK18" s="279"/>
    </row>
    <row r="19" spans="1:37" s="194" customFormat="1" ht="15.75" thickBot="1" x14ac:dyDescent="0.3">
      <c r="A19" s="213" t="s">
        <v>79</v>
      </c>
      <c r="B19" s="300">
        <v>1720</v>
      </c>
      <c r="C19" s="300">
        <v>799</v>
      </c>
      <c r="D19" s="301" t="s">
        <v>83</v>
      </c>
      <c r="E19" s="181">
        <v>30</v>
      </c>
      <c r="F19" s="182">
        <v>35</v>
      </c>
      <c r="G19" s="171">
        <v>1000000</v>
      </c>
      <c r="H19" s="156">
        <v>9.9999999999999992E-2</v>
      </c>
      <c r="I19" s="157">
        <v>0.25</v>
      </c>
      <c r="J19" s="157">
        <v>0.19999999999999998</v>
      </c>
      <c r="K19" s="157">
        <v>0.35</v>
      </c>
      <c r="L19" s="158">
        <v>9.9999999999999992E-2</v>
      </c>
      <c r="M19" s="159">
        <v>0.5</v>
      </c>
      <c r="N19" s="160">
        <v>0.3</v>
      </c>
      <c r="O19" s="160">
        <v>0.15</v>
      </c>
      <c r="P19" s="160">
        <v>4.9999999999999996E-2</v>
      </c>
      <c r="Q19" s="166">
        <v>0</v>
      </c>
      <c r="R19" s="217">
        <f t="shared" si="0"/>
        <v>442000</v>
      </c>
      <c r="S19" s="218"/>
      <c r="T19" s="218"/>
      <c r="U19" s="218"/>
      <c r="V19" s="218"/>
      <c r="W19" s="218">
        <v>0</v>
      </c>
      <c r="X19" s="218">
        <v>442000</v>
      </c>
      <c r="Y19" s="219">
        <v>30000</v>
      </c>
      <c r="Z19" s="217">
        <f t="shared" si="1"/>
        <v>2350000</v>
      </c>
      <c r="AA19" s="218"/>
      <c r="AB19" s="218"/>
      <c r="AC19" s="218"/>
      <c r="AD19" s="218"/>
      <c r="AE19" s="218"/>
      <c r="AF19" s="218">
        <f>800000+800000+750000</f>
        <v>2350000</v>
      </c>
      <c r="AG19" s="219">
        <v>20000</v>
      </c>
      <c r="AH19" s="220">
        <v>0</v>
      </c>
      <c r="AI19" s="253" t="s">
        <v>569</v>
      </c>
      <c r="AJ19" s="222" t="s">
        <v>435</v>
      </c>
      <c r="AK19" s="281"/>
    </row>
    <row r="20" spans="1:37" s="194" customFormat="1" ht="15.75" thickBot="1" x14ac:dyDescent="0.3">
      <c r="A20" s="185" t="s">
        <v>86</v>
      </c>
      <c r="B20" s="295">
        <v>1810</v>
      </c>
      <c r="C20" s="295">
        <v>899</v>
      </c>
      <c r="D20" s="296" t="s">
        <v>87</v>
      </c>
      <c r="E20" s="183">
        <v>10</v>
      </c>
      <c r="F20" s="184">
        <v>20</v>
      </c>
      <c r="G20" s="172">
        <v>2000000</v>
      </c>
      <c r="H20" s="159">
        <v>0.3</v>
      </c>
      <c r="I20" s="160">
        <v>0.39999999999999997</v>
      </c>
      <c r="J20" s="160">
        <v>0.19999999999999998</v>
      </c>
      <c r="K20" s="160">
        <v>9.9999999999999992E-2</v>
      </c>
      <c r="L20" s="166">
        <v>0</v>
      </c>
      <c r="M20" s="161">
        <v>0.5</v>
      </c>
      <c r="N20" s="162">
        <v>0.3</v>
      </c>
      <c r="O20" s="162">
        <v>0.19999999999999998</v>
      </c>
      <c r="P20" s="162">
        <v>0</v>
      </c>
      <c r="Q20" s="167">
        <v>0</v>
      </c>
      <c r="R20" s="254">
        <f t="shared" si="0"/>
        <v>440000</v>
      </c>
      <c r="S20" s="255"/>
      <c r="T20" s="255"/>
      <c r="U20" s="255">
        <v>290000</v>
      </c>
      <c r="V20" s="255"/>
      <c r="W20" s="255">
        <v>0</v>
      </c>
      <c r="X20" s="255">
        <v>150000</v>
      </c>
      <c r="Y20" s="256">
        <v>30000</v>
      </c>
      <c r="Z20" s="254">
        <f t="shared" si="1"/>
        <v>7000</v>
      </c>
      <c r="AA20" s="255"/>
      <c r="AB20" s="255"/>
      <c r="AC20" s="255">
        <v>7000</v>
      </c>
      <c r="AD20" s="255"/>
      <c r="AE20" s="255"/>
      <c r="AF20" s="255"/>
      <c r="AG20" s="257">
        <v>35000</v>
      </c>
      <c r="AH20" s="258">
        <v>0</v>
      </c>
      <c r="AI20" s="259" t="s">
        <v>570</v>
      </c>
      <c r="AJ20" s="260" t="s">
        <v>435</v>
      </c>
      <c r="AK20" s="285"/>
    </row>
    <row r="21" spans="1:37" s="262" customFormat="1" ht="19.5" thickBot="1" x14ac:dyDescent="0.3">
      <c r="A21" s="261"/>
      <c r="B21" s="261"/>
      <c r="C21" s="261"/>
      <c r="D21" s="261"/>
      <c r="G21" s="263">
        <f>SUM(G3:G20)</f>
        <v>499685000</v>
      </c>
      <c r="R21" s="264">
        <f>SUM(R3:R20)</f>
        <v>8407000</v>
      </c>
      <c r="S21" s="267">
        <f t="shared" ref="S21:X21" si="2">SUM(S3:S20)</f>
        <v>1028000</v>
      </c>
      <c r="T21" s="267">
        <f t="shared" si="2"/>
        <v>1016000</v>
      </c>
      <c r="U21" s="267">
        <f t="shared" si="2"/>
        <v>3826000</v>
      </c>
      <c r="V21" s="267">
        <f t="shared" si="2"/>
        <v>152000</v>
      </c>
      <c r="W21" s="267">
        <f t="shared" si="2"/>
        <v>536000</v>
      </c>
      <c r="X21" s="267">
        <f t="shared" si="2"/>
        <v>1849000</v>
      </c>
      <c r="Y21" s="265">
        <f>SUM(Y3:Y20)</f>
        <v>3720000</v>
      </c>
      <c r="Z21" s="264">
        <f>SUM(Z3:Z20)</f>
        <v>19733000</v>
      </c>
      <c r="AA21" s="267">
        <f t="shared" ref="AA21:AG21" si="3">SUM(AA3:AA20)</f>
        <v>1640000</v>
      </c>
      <c r="AB21" s="267">
        <f t="shared" si="3"/>
        <v>3570000</v>
      </c>
      <c r="AC21" s="267">
        <f t="shared" si="3"/>
        <v>2113000</v>
      </c>
      <c r="AD21" s="267">
        <f t="shared" si="3"/>
        <v>1000000</v>
      </c>
      <c r="AE21" s="267">
        <f t="shared" si="3"/>
        <v>5935000</v>
      </c>
      <c r="AF21" s="267">
        <f t="shared" si="3"/>
        <v>5475000</v>
      </c>
      <c r="AG21" s="266">
        <f t="shared" si="3"/>
        <v>3983000</v>
      </c>
    </row>
    <row r="22" spans="1:37" ht="15.75" thickBot="1" x14ac:dyDescent="0.3">
      <c r="A22" s="2"/>
      <c r="B22" s="2"/>
      <c r="C22" s="2"/>
      <c r="D22" s="2"/>
    </row>
    <row r="23" spans="1:37" ht="16.5" thickBot="1" x14ac:dyDescent="0.3">
      <c r="A23" s="2"/>
      <c r="B23" s="2"/>
      <c r="C23" s="2"/>
      <c r="D23" s="2"/>
      <c r="E23" s="1032" t="s">
        <v>88</v>
      </c>
      <c r="F23" s="1033"/>
      <c r="G23" s="1033"/>
      <c r="H23" s="1033"/>
      <c r="I23" s="1033"/>
      <c r="J23" s="1033"/>
      <c r="K23" s="1034"/>
    </row>
    <row r="24" spans="1:37" ht="15.75" thickBot="1" x14ac:dyDescent="0.3">
      <c r="A24" s="2"/>
      <c r="B24" s="2"/>
      <c r="C24" s="2"/>
      <c r="D24" s="2"/>
    </row>
    <row r="25" spans="1:37" ht="15.75" thickBot="1" x14ac:dyDescent="0.3">
      <c r="A25" s="2"/>
      <c r="B25" s="2"/>
      <c r="C25" s="2"/>
      <c r="D25" s="2"/>
      <c r="E25" s="134"/>
      <c r="F25" s="133" t="s">
        <v>571</v>
      </c>
    </row>
    <row r="26" spans="1:37" ht="15.75" thickBot="1" x14ac:dyDescent="0.3">
      <c r="A26" s="2"/>
      <c r="B26" s="2"/>
      <c r="C26" s="2"/>
      <c r="D26" s="2"/>
    </row>
    <row r="27" spans="1:37" ht="15.75" thickBot="1" x14ac:dyDescent="0.3">
      <c r="A27" s="2"/>
      <c r="B27" s="2"/>
      <c r="C27" s="2"/>
      <c r="D27" s="2"/>
      <c r="E27" s="135"/>
      <c r="F27" s="133" t="s">
        <v>572</v>
      </c>
    </row>
    <row r="28" spans="1:37" x14ac:dyDescent="0.25">
      <c r="A28" s="2"/>
      <c r="B28" s="2"/>
      <c r="C28" s="2"/>
      <c r="D28" s="2"/>
    </row>
  </sheetData>
  <dataConsolidate/>
  <mergeCells count="12">
    <mergeCell ref="AK1:AK2"/>
    <mergeCell ref="AI1:AJ1"/>
    <mergeCell ref="E23:K23"/>
    <mergeCell ref="AH1:AH2"/>
    <mergeCell ref="A1:D1"/>
    <mergeCell ref="H1:L1"/>
    <mergeCell ref="M1:Q1"/>
    <mergeCell ref="R1:Y1"/>
    <mergeCell ref="E1:E2"/>
    <mergeCell ref="F1:F2"/>
    <mergeCell ref="G1:G2"/>
    <mergeCell ref="Z1:AG1"/>
  </mergeCells>
  <pageMargins left="0.70866141732283472" right="0.70866141732283472" top="0.74803149606299213" bottom="0.74803149606299213" header="0.31496062992125984" footer="0.31496062992125984"/>
  <pageSetup paperSize="8" scale="3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8">
    <tabColor rgb="FFFF0000"/>
  </sheetPr>
  <dimension ref="A1:U22"/>
  <sheetViews>
    <sheetView zoomScale="70" zoomScaleNormal="70" workbookViewId="0">
      <pane xSplit="2" ySplit="2" topLeftCell="C6" activePane="bottomRight" state="frozen"/>
      <selection pane="topRight" activeCell="C1" sqref="C1"/>
      <selection pane="bottomLeft" activeCell="A3" sqref="A3"/>
      <selection pane="bottomRight" activeCell="E10" sqref="E10"/>
    </sheetView>
  </sheetViews>
  <sheetFormatPr baseColWidth="10" defaultColWidth="11.42578125" defaultRowHeight="15" x14ac:dyDescent="0.25"/>
  <cols>
    <col min="1" max="1" width="26.85546875" style="1" customWidth="1"/>
    <col min="2" max="2" width="44.5703125" style="1" bestFit="1" customWidth="1"/>
    <col min="3" max="4" width="6.5703125" style="1" bestFit="1" customWidth="1"/>
    <col min="5" max="5" width="24.85546875" style="1" bestFit="1" customWidth="1"/>
    <col min="6" max="15" width="6.5703125" style="1" bestFit="1" customWidth="1"/>
    <col min="16" max="16" width="15.5703125" style="1" bestFit="1" customWidth="1"/>
    <col min="17" max="17" width="14.42578125" style="1" bestFit="1" customWidth="1"/>
    <col min="18" max="18" width="17.140625" style="1" bestFit="1" customWidth="1"/>
    <col min="19" max="19" width="16.140625" style="1" bestFit="1" customWidth="1"/>
    <col min="20" max="20" width="6.5703125" style="1" bestFit="1" customWidth="1"/>
    <col min="21" max="21" width="82.5703125" style="1" customWidth="1"/>
    <col min="22" max="16384" width="11.42578125" style="1"/>
  </cols>
  <sheetData>
    <row r="1" spans="1:21" ht="55.5" customHeight="1" thickBot="1" x14ac:dyDescent="0.3">
      <c r="A1" s="1035" t="s">
        <v>573</v>
      </c>
      <c r="B1" s="1037"/>
      <c r="C1" s="1047" t="s">
        <v>0</v>
      </c>
      <c r="D1" s="1049" t="s">
        <v>574</v>
      </c>
      <c r="E1" s="1051" t="s">
        <v>575</v>
      </c>
      <c r="F1" s="1038" t="s">
        <v>3</v>
      </c>
      <c r="G1" s="1046"/>
      <c r="H1" s="1046"/>
      <c r="I1" s="1046"/>
      <c r="J1" s="1039"/>
      <c r="K1" s="1038" t="s">
        <v>4</v>
      </c>
      <c r="L1" s="1046"/>
      <c r="M1" s="1046"/>
      <c r="N1" s="1046"/>
      <c r="O1" s="1039"/>
      <c r="P1" s="1038" t="s">
        <v>576</v>
      </c>
      <c r="Q1" s="1039"/>
      <c r="R1" s="1038" t="s">
        <v>577</v>
      </c>
      <c r="S1" s="1039"/>
      <c r="T1" s="1040" t="s">
        <v>5</v>
      </c>
      <c r="U1" s="1042" t="s">
        <v>485</v>
      </c>
    </row>
    <row r="2" spans="1:21" s="3" customFormat="1" ht="99.75" customHeight="1" thickBot="1" x14ac:dyDescent="0.3">
      <c r="A2" s="14" t="s">
        <v>271</v>
      </c>
      <c r="B2" s="15" t="s">
        <v>272</v>
      </c>
      <c r="C2" s="1048"/>
      <c r="D2" s="1050"/>
      <c r="E2" s="1052"/>
      <c r="F2" s="136" t="s">
        <v>11</v>
      </c>
      <c r="G2" s="16" t="s">
        <v>12</v>
      </c>
      <c r="H2" s="16" t="s">
        <v>13</v>
      </c>
      <c r="I2" s="16" t="s">
        <v>14</v>
      </c>
      <c r="J2" s="137" t="s">
        <v>15</v>
      </c>
      <c r="K2" s="136" t="s">
        <v>11</v>
      </c>
      <c r="L2" s="16" t="s">
        <v>12</v>
      </c>
      <c r="M2" s="16" t="s">
        <v>13</v>
      </c>
      <c r="N2" s="16" t="s">
        <v>14</v>
      </c>
      <c r="O2" s="137" t="s">
        <v>15</v>
      </c>
      <c r="P2" s="136" t="s">
        <v>539</v>
      </c>
      <c r="Q2" s="137" t="s">
        <v>17</v>
      </c>
      <c r="R2" s="136" t="s">
        <v>539</v>
      </c>
      <c r="S2" s="137" t="s">
        <v>17</v>
      </c>
      <c r="T2" s="1041"/>
      <c r="U2" s="1043"/>
    </row>
    <row r="3" spans="1:21" x14ac:dyDescent="0.25">
      <c r="A3" s="18" t="s">
        <v>21</v>
      </c>
      <c r="B3" s="19" t="s">
        <v>23</v>
      </c>
      <c r="C3" s="6">
        <v>55</v>
      </c>
      <c r="D3" s="7">
        <v>70</v>
      </c>
      <c r="E3" s="51">
        <v>85000000</v>
      </c>
      <c r="F3" s="45">
        <v>9.9999999999999992E-2</v>
      </c>
      <c r="G3" s="24">
        <v>0.19999999999999998</v>
      </c>
      <c r="H3" s="24">
        <v>0.25</v>
      </c>
      <c r="I3" s="24">
        <v>0.35</v>
      </c>
      <c r="J3" s="46">
        <v>9.9999999999999992E-2</v>
      </c>
      <c r="K3" s="42">
        <v>0.3</v>
      </c>
      <c r="L3" s="24">
        <v>0.25</v>
      </c>
      <c r="M3" s="24">
        <v>0.25</v>
      </c>
      <c r="N3" s="24">
        <v>0.19999999999999998</v>
      </c>
      <c r="O3" s="36">
        <v>0</v>
      </c>
      <c r="P3" s="41">
        <v>1111</v>
      </c>
      <c r="Q3" s="31">
        <v>400000</v>
      </c>
      <c r="R3" s="39">
        <v>1200000</v>
      </c>
      <c r="S3" s="31">
        <v>450000</v>
      </c>
      <c r="T3" s="30"/>
      <c r="U3" s="26"/>
    </row>
    <row r="4" spans="1:21" ht="75" x14ac:dyDescent="0.25">
      <c r="A4" s="20" t="s">
        <v>26</v>
      </c>
      <c r="B4" s="21" t="s">
        <v>27</v>
      </c>
      <c r="C4" s="4">
        <v>69</v>
      </c>
      <c r="D4" s="8">
        <v>100</v>
      </c>
      <c r="E4" s="52">
        <v>4210000</v>
      </c>
      <c r="F4" s="47">
        <v>0.12</v>
      </c>
      <c r="G4" s="17">
        <v>0.78999999999999992</v>
      </c>
      <c r="H4" s="17">
        <v>0.09</v>
      </c>
      <c r="I4" s="17">
        <v>0</v>
      </c>
      <c r="J4" s="48">
        <v>0</v>
      </c>
      <c r="K4" s="43">
        <v>0.61</v>
      </c>
      <c r="L4" s="17">
        <v>0.24</v>
      </c>
      <c r="M4" s="17">
        <v>9.9999999999999992E-2</v>
      </c>
      <c r="N4" s="17">
        <v>3.9999999999999994E-2</v>
      </c>
      <c r="O4" s="37">
        <v>0</v>
      </c>
      <c r="P4" s="32">
        <v>105000</v>
      </c>
      <c r="Q4" s="33">
        <v>14000</v>
      </c>
      <c r="R4" s="40">
        <v>45000</v>
      </c>
      <c r="S4" s="33">
        <v>9000</v>
      </c>
      <c r="T4" s="10"/>
      <c r="U4" s="27" t="s">
        <v>578</v>
      </c>
    </row>
    <row r="5" spans="1:21" ht="45" x14ac:dyDescent="0.25">
      <c r="A5" s="20" t="s">
        <v>26</v>
      </c>
      <c r="B5" s="21" t="s">
        <v>30</v>
      </c>
      <c r="C5" s="4">
        <v>110</v>
      </c>
      <c r="D5" s="8">
        <v>150</v>
      </c>
      <c r="E5" s="52">
        <v>114070000</v>
      </c>
      <c r="F5" s="47">
        <v>0</v>
      </c>
      <c r="G5" s="17">
        <v>0.94</v>
      </c>
      <c r="H5" s="17">
        <v>0.06</v>
      </c>
      <c r="I5" s="17">
        <v>0</v>
      </c>
      <c r="J5" s="48">
        <v>0</v>
      </c>
      <c r="K5" s="43">
        <v>0.61</v>
      </c>
      <c r="L5" s="17">
        <v>0.24</v>
      </c>
      <c r="M5" s="17">
        <v>9.9999999999999992E-2</v>
      </c>
      <c r="N5" s="17">
        <v>4.9999999999999996E-2</v>
      </c>
      <c r="O5" s="37">
        <v>0</v>
      </c>
      <c r="P5" s="32">
        <v>0</v>
      </c>
      <c r="Q5" s="33">
        <v>7000</v>
      </c>
      <c r="R5" s="40">
        <v>810000</v>
      </c>
      <c r="S5" s="33">
        <v>162000</v>
      </c>
      <c r="T5" s="10"/>
      <c r="U5" s="27" t="s">
        <v>579</v>
      </c>
    </row>
    <row r="6" spans="1:21" ht="120" x14ac:dyDescent="0.25">
      <c r="A6" s="20" t="s">
        <v>26</v>
      </c>
      <c r="B6" s="21" t="s">
        <v>31</v>
      </c>
      <c r="C6" s="4">
        <v>69</v>
      </c>
      <c r="D6" s="8">
        <v>100</v>
      </c>
      <c r="E6" s="52">
        <v>29620000</v>
      </c>
      <c r="F6" s="47">
        <v>7.0000000000000007E-2</v>
      </c>
      <c r="G6" s="17">
        <v>0.5</v>
      </c>
      <c r="H6" s="17">
        <v>0.43</v>
      </c>
      <c r="I6" s="17">
        <v>0</v>
      </c>
      <c r="J6" s="48">
        <v>0</v>
      </c>
      <c r="K6" s="43">
        <v>0.3</v>
      </c>
      <c r="L6" s="17">
        <v>0.54999999999999993</v>
      </c>
      <c r="M6" s="17">
        <v>9.9999999999999992E-2</v>
      </c>
      <c r="N6" s="17">
        <v>4.9999999999999996E-2</v>
      </c>
      <c r="O6" s="37">
        <v>0</v>
      </c>
      <c r="P6" s="32">
        <v>0</v>
      </c>
      <c r="Q6" s="33">
        <v>38000</v>
      </c>
      <c r="R6" s="40">
        <v>352000</v>
      </c>
      <c r="S6" s="33">
        <v>70000</v>
      </c>
      <c r="T6" s="10"/>
      <c r="U6" s="27" t="s">
        <v>580</v>
      </c>
    </row>
    <row r="7" spans="1:21" ht="90" x14ac:dyDescent="0.25">
      <c r="A7" s="20" t="s">
        <v>34</v>
      </c>
      <c r="B7" s="21" t="s">
        <v>35</v>
      </c>
      <c r="C7" s="4">
        <v>32</v>
      </c>
      <c r="D7" s="8">
        <v>30</v>
      </c>
      <c r="E7" s="52">
        <v>72000000</v>
      </c>
      <c r="F7" s="47">
        <v>9.9999999999999992E-2</v>
      </c>
      <c r="G7" s="17">
        <v>9.9999999999999992E-2</v>
      </c>
      <c r="H7" s="17">
        <v>9.9999999999999992E-2</v>
      </c>
      <c r="I7" s="17">
        <v>0.39999999999999997</v>
      </c>
      <c r="J7" s="48">
        <v>0.3</v>
      </c>
      <c r="K7" s="43">
        <v>0.19999999999999998</v>
      </c>
      <c r="L7" s="17">
        <v>0.79999999999999993</v>
      </c>
      <c r="M7" s="17">
        <v>0</v>
      </c>
      <c r="N7" s="17">
        <v>0</v>
      </c>
      <c r="O7" s="37">
        <v>0</v>
      </c>
      <c r="P7" s="32">
        <v>461000</v>
      </c>
      <c r="Q7" s="33">
        <v>600000</v>
      </c>
      <c r="R7" s="40">
        <v>44600000</v>
      </c>
      <c r="S7" s="33">
        <v>2300000</v>
      </c>
      <c r="T7" s="10"/>
      <c r="U7" s="27" t="s">
        <v>581</v>
      </c>
    </row>
    <row r="8" spans="1:21" ht="45" x14ac:dyDescent="0.25">
      <c r="A8" s="20" t="s">
        <v>34</v>
      </c>
      <c r="B8" s="21" t="s">
        <v>39</v>
      </c>
      <c r="C8" s="4">
        <v>32</v>
      </c>
      <c r="D8" s="8">
        <v>30</v>
      </c>
      <c r="E8" s="52">
        <v>9100000</v>
      </c>
      <c r="F8" s="47">
        <v>0.25</v>
      </c>
      <c r="G8" s="17">
        <v>0.25</v>
      </c>
      <c r="H8" s="17">
        <v>0.3</v>
      </c>
      <c r="I8" s="17">
        <v>9.9999999999999992E-2</v>
      </c>
      <c r="J8" s="48">
        <v>9.9999999999999992E-2</v>
      </c>
      <c r="K8" s="43">
        <v>0.3</v>
      </c>
      <c r="L8" s="17">
        <v>0.7</v>
      </c>
      <c r="M8" s="17">
        <v>0</v>
      </c>
      <c r="N8" s="17">
        <v>0</v>
      </c>
      <c r="O8" s="37">
        <v>0</v>
      </c>
      <c r="P8" s="32">
        <v>462000</v>
      </c>
      <c r="Q8" s="33">
        <v>78000</v>
      </c>
      <c r="R8" s="40">
        <v>4600000</v>
      </c>
      <c r="S8" s="33">
        <v>800000</v>
      </c>
      <c r="T8" s="10"/>
      <c r="U8" s="27" t="s">
        <v>582</v>
      </c>
    </row>
    <row r="9" spans="1:21" ht="45" x14ac:dyDescent="0.25">
      <c r="A9" s="20" t="s">
        <v>45</v>
      </c>
      <c r="B9" s="21" t="s">
        <v>46</v>
      </c>
      <c r="C9" s="4">
        <v>26</v>
      </c>
      <c r="D9" s="8">
        <v>30</v>
      </c>
      <c r="E9" s="52">
        <v>47700000</v>
      </c>
      <c r="F9" s="47">
        <v>0.3</v>
      </c>
      <c r="G9" s="17">
        <v>0.39999999999999997</v>
      </c>
      <c r="H9" s="17">
        <v>0.25</v>
      </c>
      <c r="I9" s="17">
        <v>4.9999999999999996E-2</v>
      </c>
      <c r="J9" s="48">
        <v>0</v>
      </c>
      <c r="K9" s="43">
        <v>0.32999999999999996</v>
      </c>
      <c r="L9" s="17">
        <v>0.54999999999999993</v>
      </c>
      <c r="M9" s="17">
        <v>0.12</v>
      </c>
      <c r="N9" s="17">
        <v>0</v>
      </c>
      <c r="O9" s="37">
        <v>0</v>
      </c>
      <c r="P9" s="32">
        <v>209000</v>
      </c>
      <c r="Q9" s="33">
        <v>71000</v>
      </c>
      <c r="R9" s="40">
        <v>9800000</v>
      </c>
      <c r="S9" s="33">
        <v>1800000</v>
      </c>
      <c r="T9" s="10"/>
      <c r="U9" s="27" t="s">
        <v>583</v>
      </c>
    </row>
    <row r="10" spans="1:21" ht="120" x14ac:dyDescent="0.25">
      <c r="A10" s="20" t="s">
        <v>59</v>
      </c>
      <c r="B10" s="288" t="s">
        <v>584</v>
      </c>
      <c r="C10" s="4">
        <v>25</v>
      </c>
      <c r="D10" s="8">
        <v>40</v>
      </c>
      <c r="E10" s="52">
        <v>13650000</v>
      </c>
      <c r="F10" s="47">
        <v>0.35</v>
      </c>
      <c r="G10" s="17">
        <v>0.25</v>
      </c>
      <c r="H10" s="17">
        <v>0.39999999999999997</v>
      </c>
      <c r="I10" s="17">
        <v>0</v>
      </c>
      <c r="J10" s="48">
        <v>0</v>
      </c>
      <c r="K10" s="43">
        <v>0.54999999999999993</v>
      </c>
      <c r="L10" s="17">
        <v>0.39999999999999997</v>
      </c>
      <c r="M10" s="17">
        <v>4.9999999999999996E-2</v>
      </c>
      <c r="N10" s="17">
        <v>0</v>
      </c>
      <c r="O10" s="37">
        <v>0</v>
      </c>
      <c r="P10" s="32">
        <v>1473000</v>
      </c>
      <c r="Q10" s="33">
        <v>88000</v>
      </c>
      <c r="R10" s="40">
        <v>6800000</v>
      </c>
      <c r="S10" s="33">
        <v>3700000</v>
      </c>
      <c r="T10" s="10"/>
      <c r="U10" s="27" t="s">
        <v>585</v>
      </c>
    </row>
    <row r="11" spans="1:21" x14ac:dyDescent="0.25">
      <c r="A11" s="20" t="s">
        <v>285</v>
      </c>
      <c r="B11" s="21" t="s">
        <v>67</v>
      </c>
      <c r="C11" s="4">
        <v>0</v>
      </c>
      <c r="D11" s="8">
        <v>30</v>
      </c>
      <c r="E11" s="52">
        <v>3000000</v>
      </c>
      <c r="F11" s="47">
        <v>0.19999999999999998</v>
      </c>
      <c r="G11" s="17">
        <v>0.3</v>
      </c>
      <c r="H11" s="17">
        <v>0.3</v>
      </c>
      <c r="I11" s="17">
        <v>0.19999999999999998</v>
      </c>
      <c r="J11" s="48">
        <v>0</v>
      </c>
      <c r="K11" s="43">
        <v>0.5</v>
      </c>
      <c r="L11" s="17">
        <v>0.3</v>
      </c>
      <c r="M11" s="17">
        <v>0.15</v>
      </c>
      <c r="N11" s="17">
        <v>4.9999999999999996E-2</v>
      </c>
      <c r="O11" s="37">
        <v>0</v>
      </c>
      <c r="P11" s="32">
        <v>60000</v>
      </c>
      <c r="Q11" s="33">
        <v>0</v>
      </c>
      <c r="R11" s="40">
        <v>1000000</v>
      </c>
      <c r="S11" s="33">
        <v>100000</v>
      </c>
      <c r="T11" s="10"/>
      <c r="U11" s="28" t="s">
        <v>586</v>
      </c>
    </row>
    <row r="12" spans="1:21" ht="75" x14ac:dyDescent="0.25">
      <c r="A12" s="20" t="s">
        <v>72</v>
      </c>
      <c r="B12" s="21" t="s">
        <v>73</v>
      </c>
      <c r="C12" s="4">
        <v>51</v>
      </c>
      <c r="D12" s="8">
        <v>80</v>
      </c>
      <c r="E12" s="52">
        <v>50000000</v>
      </c>
      <c r="F12" s="47">
        <v>0.25</v>
      </c>
      <c r="G12" s="17">
        <v>0.3</v>
      </c>
      <c r="H12" s="17">
        <v>0.19999999999999998</v>
      </c>
      <c r="I12" s="17">
        <v>0.25</v>
      </c>
      <c r="J12" s="48">
        <v>0</v>
      </c>
      <c r="K12" s="43">
        <v>0.5</v>
      </c>
      <c r="L12" s="17">
        <v>0.3</v>
      </c>
      <c r="M12" s="17">
        <v>0.19999999999999998</v>
      </c>
      <c r="N12" s="17">
        <v>0</v>
      </c>
      <c r="O12" s="37">
        <v>0</v>
      </c>
      <c r="P12" s="32">
        <v>520000</v>
      </c>
      <c r="Q12" s="33">
        <v>101000</v>
      </c>
      <c r="R12" s="32">
        <v>29500000</v>
      </c>
      <c r="S12" s="33">
        <v>200000</v>
      </c>
      <c r="T12" s="54"/>
      <c r="U12" s="27" t="s">
        <v>587</v>
      </c>
    </row>
    <row r="13" spans="1:21" ht="15.75" thickBot="1" x14ac:dyDescent="0.3">
      <c r="A13" s="22" t="s">
        <v>79</v>
      </c>
      <c r="B13" s="23" t="s">
        <v>80</v>
      </c>
      <c r="C13" s="5">
        <v>32</v>
      </c>
      <c r="D13" s="9">
        <v>35</v>
      </c>
      <c r="E13" s="53">
        <v>5000000</v>
      </c>
      <c r="F13" s="49">
        <v>9.9999999999999992E-2</v>
      </c>
      <c r="G13" s="25">
        <v>0.19999999999999998</v>
      </c>
      <c r="H13" s="25">
        <v>0.3</v>
      </c>
      <c r="I13" s="25">
        <v>0.35</v>
      </c>
      <c r="J13" s="50">
        <v>4.9999999999999996E-2</v>
      </c>
      <c r="K13" s="44">
        <v>0.5</v>
      </c>
      <c r="L13" s="25">
        <v>0.3</v>
      </c>
      <c r="M13" s="25">
        <v>0.15</v>
      </c>
      <c r="N13" s="25">
        <v>4.9999999999999996E-2</v>
      </c>
      <c r="O13" s="38">
        <v>0</v>
      </c>
      <c r="P13" s="34">
        <v>29000</v>
      </c>
      <c r="Q13" s="35">
        <v>0</v>
      </c>
      <c r="R13" s="34">
        <v>2000000</v>
      </c>
      <c r="S13" s="35">
        <v>50000</v>
      </c>
      <c r="T13" s="11"/>
      <c r="U13" s="29" t="s">
        <v>586</v>
      </c>
    </row>
    <row r="14" spans="1:21" ht="24.95" customHeight="1" thickBot="1" x14ac:dyDescent="0.3">
      <c r="A14" s="2"/>
      <c r="B14" s="2"/>
      <c r="E14" s="55">
        <f>SUM(E3:E13)</f>
        <v>433350000</v>
      </c>
      <c r="P14" s="1044">
        <f>SUM(P3:Q13)</f>
        <v>4717111</v>
      </c>
      <c r="Q14" s="1045"/>
      <c r="R14" s="1044">
        <f>SUM(R3:S13)</f>
        <v>110348000</v>
      </c>
      <c r="S14" s="1045"/>
    </row>
    <row r="15" spans="1:21" x14ac:dyDescent="0.25">
      <c r="A15" s="2"/>
      <c r="B15" s="2"/>
    </row>
    <row r="16" spans="1:21" x14ac:dyDescent="0.25">
      <c r="A16" s="2"/>
      <c r="B16" s="2"/>
    </row>
    <row r="17" spans="1:2" x14ac:dyDescent="0.25">
      <c r="A17" s="2"/>
      <c r="B17" s="2"/>
    </row>
    <row r="18" spans="1:2" x14ac:dyDescent="0.25">
      <c r="A18" s="2"/>
      <c r="B18" s="2"/>
    </row>
    <row r="19" spans="1:2" x14ac:dyDescent="0.25">
      <c r="A19" s="2"/>
      <c r="B19" s="2"/>
    </row>
    <row r="20" spans="1:2" x14ac:dyDescent="0.25">
      <c r="A20" s="2"/>
      <c r="B20" s="2"/>
    </row>
    <row r="21" spans="1:2" x14ac:dyDescent="0.25">
      <c r="A21" s="2"/>
      <c r="B21" s="2"/>
    </row>
    <row r="22" spans="1:2" x14ac:dyDescent="0.25">
      <c r="A22" s="2"/>
      <c r="B22" s="2"/>
    </row>
  </sheetData>
  <mergeCells count="12">
    <mergeCell ref="K1:O1"/>
    <mergeCell ref="A1:B1"/>
    <mergeCell ref="C1:C2"/>
    <mergeCell ref="D1:D2"/>
    <mergeCell ref="E1:E2"/>
    <mergeCell ref="F1:J1"/>
    <mergeCell ref="P1:Q1"/>
    <mergeCell ref="R1:S1"/>
    <mergeCell ref="T1:T2"/>
    <mergeCell ref="U1:U2"/>
    <mergeCell ref="P14:Q14"/>
    <mergeCell ref="R14:S1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9">
    <tabColor rgb="FFFF0000"/>
  </sheetPr>
  <dimension ref="A1:U29"/>
  <sheetViews>
    <sheetView zoomScale="60" zoomScaleNormal="60" workbookViewId="0">
      <pane xSplit="2" ySplit="2" topLeftCell="C15" activePane="bottomRight" state="frozen"/>
      <selection pane="topRight" activeCell="C1" sqref="C1"/>
      <selection pane="bottomLeft" activeCell="A3" sqref="A3"/>
      <selection pane="bottomRight" activeCell="A18" sqref="A18:E21"/>
    </sheetView>
  </sheetViews>
  <sheetFormatPr baseColWidth="10" defaultColWidth="11.42578125" defaultRowHeight="15" x14ac:dyDescent="0.25"/>
  <cols>
    <col min="1" max="1" width="38.42578125" style="1" bestFit="1" customWidth="1"/>
    <col min="2" max="2" width="48.140625" style="1" bestFit="1" customWidth="1"/>
    <col min="3" max="3" width="6.5703125" style="1" bestFit="1" customWidth="1"/>
    <col min="4" max="4" width="7.5703125" style="1" bestFit="1" customWidth="1"/>
    <col min="5" max="5" width="20.85546875" style="1" bestFit="1" customWidth="1"/>
    <col min="6" max="15" width="6.5703125" style="1" bestFit="1" customWidth="1"/>
    <col min="16" max="16" width="14.85546875" style="1" bestFit="1" customWidth="1"/>
    <col min="17" max="17" width="14.42578125" style="1" bestFit="1" customWidth="1"/>
    <col min="18" max="18" width="17.140625" style="1" bestFit="1" customWidth="1"/>
    <col min="19" max="19" width="16.140625" style="1" bestFit="1" customWidth="1"/>
    <col min="20" max="20" width="6.5703125" style="1" bestFit="1" customWidth="1"/>
    <col min="21" max="21" width="144.85546875" style="1" customWidth="1"/>
    <col min="22" max="16384" width="11.42578125" style="1"/>
  </cols>
  <sheetData>
    <row r="1" spans="1:21" ht="55.5" customHeight="1" thickBot="1" x14ac:dyDescent="0.3">
      <c r="A1" s="1035" t="s">
        <v>588</v>
      </c>
      <c r="B1" s="1037"/>
      <c r="C1" s="1047" t="s">
        <v>0</v>
      </c>
      <c r="D1" s="1049" t="s">
        <v>574</v>
      </c>
      <c r="E1" s="1051" t="s">
        <v>575</v>
      </c>
      <c r="F1" s="1038" t="s">
        <v>3</v>
      </c>
      <c r="G1" s="1046"/>
      <c r="H1" s="1046"/>
      <c r="I1" s="1046"/>
      <c r="J1" s="1039"/>
      <c r="K1" s="1038" t="s">
        <v>4</v>
      </c>
      <c r="L1" s="1046"/>
      <c r="M1" s="1046"/>
      <c r="N1" s="1046"/>
      <c r="O1" s="1039"/>
      <c r="P1" s="1038" t="s">
        <v>576</v>
      </c>
      <c r="Q1" s="1039"/>
      <c r="R1" s="1038" t="s">
        <v>589</v>
      </c>
      <c r="S1" s="1039"/>
      <c r="T1" s="1040" t="s">
        <v>5</v>
      </c>
      <c r="U1" s="1042" t="s">
        <v>485</v>
      </c>
    </row>
    <row r="2" spans="1:21" s="3" customFormat="1" ht="99" customHeight="1" thickBot="1" x14ac:dyDescent="0.3">
      <c r="A2" s="14" t="s">
        <v>271</v>
      </c>
      <c r="B2" s="15" t="s">
        <v>272</v>
      </c>
      <c r="C2" s="1048"/>
      <c r="D2" s="1050"/>
      <c r="E2" s="1052"/>
      <c r="F2" s="136" t="s">
        <v>11</v>
      </c>
      <c r="G2" s="16" t="s">
        <v>12</v>
      </c>
      <c r="H2" s="16" t="s">
        <v>13</v>
      </c>
      <c r="I2" s="16" t="s">
        <v>14</v>
      </c>
      <c r="J2" s="137" t="s">
        <v>15</v>
      </c>
      <c r="K2" s="136" t="s">
        <v>11</v>
      </c>
      <c r="L2" s="16" t="s">
        <v>12</v>
      </c>
      <c r="M2" s="16" t="s">
        <v>13</v>
      </c>
      <c r="N2" s="16" t="s">
        <v>14</v>
      </c>
      <c r="O2" s="137" t="s">
        <v>15</v>
      </c>
      <c r="P2" s="136" t="s">
        <v>539</v>
      </c>
      <c r="Q2" s="137" t="s">
        <v>17</v>
      </c>
      <c r="R2" s="136" t="s">
        <v>539</v>
      </c>
      <c r="S2" s="137" t="s">
        <v>17</v>
      </c>
      <c r="T2" s="1041"/>
      <c r="U2" s="1043"/>
    </row>
    <row r="3" spans="1:21" ht="45" x14ac:dyDescent="0.25">
      <c r="A3" s="58" t="s">
        <v>590</v>
      </c>
      <c r="B3" s="59" t="s">
        <v>591</v>
      </c>
      <c r="C3" s="70">
        <v>28</v>
      </c>
      <c r="D3" s="71">
        <v>26.25</v>
      </c>
      <c r="E3" s="99">
        <v>9100000</v>
      </c>
      <c r="F3" s="73">
        <v>0.25</v>
      </c>
      <c r="G3" s="74">
        <v>0.25</v>
      </c>
      <c r="H3" s="74">
        <v>0.3</v>
      </c>
      <c r="I3" s="74">
        <v>9.9999999999999992E-2</v>
      </c>
      <c r="J3" s="75">
        <v>9.9999999999999992E-2</v>
      </c>
      <c r="K3" s="73">
        <v>0.3</v>
      </c>
      <c r="L3" s="74">
        <v>0.7</v>
      </c>
      <c r="M3" s="74">
        <v>0</v>
      </c>
      <c r="N3" s="74">
        <v>0</v>
      </c>
      <c r="O3" s="75">
        <v>0</v>
      </c>
      <c r="P3" s="102">
        <v>30000</v>
      </c>
      <c r="Q3" s="103">
        <v>50000</v>
      </c>
      <c r="R3" s="104">
        <v>5000000</v>
      </c>
      <c r="S3" s="103">
        <v>1000000</v>
      </c>
      <c r="T3" s="72"/>
      <c r="U3" s="65" t="s">
        <v>592</v>
      </c>
    </row>
    <row r="4" spans="1:21" ht="30" x14ac:dyDescent="0.25">
      <c r="A4" s="60" t="s">
        <v>590</v>
      </c>
      <c r="B4" s="61" t="s">
        <v>593</v>
      </c>
      <c r="C4" s="79">
        <v>28</v>
      </c>
      <c r="D4" s="80">
        <v>26.25</v>
      </c>
      <c r="E4" s="100">
        <v>7200000</v>
      </c>
      <c r="F4" s="82">
        <v>0.19999999999999998</v>
      </c>
      <c r="G4" s="83">
        <v>0.19999999999999998</v>
      </c>
      <c r="H4" s="83">
        <v>0.19999999999999998</v>
      </c>
      <c r="I4" s="83">
        <v>0.35</v>
      </c>
      <c r="J4" s="84">
        <v>4.9999999999999996E-2</v>
      </c>
      <c r="K4" s="82">
        <v>0.19999999999999998</v>
      </c>
      <c r="L4" s="83">
        <v>0.79999999999999993</v>
      </c>
      <c r="M4" s="83">
        <v>0</v>
      </c>
      <c r="N4" s="83">
        <v>0</v>
      </c>
      <c r="O4" s="84">
        <v>0</v>
      </c>
      <c r="P4" s="105">
        <v>0</v>
      </c>
      <c r="Q4" s="106">
        <v>73000</v>
      </c>
      <c r="R4" s="105">
        <v>1900000</v>
      </c>
      <c r="S4" s="106">
        <v>1000000</v>
      </c>
      <c r="T4" s="87"/>
      <c r="U4" s="66" t="s">
        <v>594</v>
      </c>
    </row>
    <row r="5" spans="1:21" ht="165" x14ac:dyDescent="0.25">
      <c r="A5" s="60" t="s">
        <v>590</v>
      </c>
      <c r="B5" s="61" t="s">
        <v>595</v>
      </c>
      <c r="C5" s="79">
        <v>28</v>
      </c>
      <c r="D5" s="80">
        <v>26.25</v>
      </c>
      <c r="E5" s="100">
        <v>72000000</v>
      </c>
      <c r="F5" s="82">
        <v>0.19999999999999998</v>
      </c>
      <c r="G5" s="83">
        <v>0.19999999999999998</v>
      </c>
      <c r="H5" s="83">
        <v>0.15</v>
      </c>
      <c r="I5" s="83">
        <v>0.19999999999999998</v>
      </c>
      <c r="J5" s="84">
        <v>0.25</v>
      </c>
      <c r="K5" s="82">
        <v>0.19999999999999998</v>
      </c>
      <c r="L5" s="83">
        <v>0.79999999999999993</v>
      </c>
      <c r="M5" s="83">
        <v>0</v>
      </c>
      <c r="N5" s="83">
        <v>0</v>
      </c>
      <c r="O5" s="84">
        <v>0</v>
      </c>
      <c r="P5" s="105">
        <v>550000</v>
      </c>
      <c r="Q5" s="107">
        <v>400000</v>
      </c>
      <c r="R5" s="108">
        <v>45000000</v>
      </c>
      <c r="S5" s="107">
        <v>2900000</v>
      </c>
      <c r="T5" s="81"/>
      <c r="U5" s="66" t="s">
        <v>596</v>
      </c>
    </row>
    <row r="6" spans="1:21" ht="105" x14ac:dyDescent="0.25">
      <c r="A6" s="60" t="s">
        <v>597</v>
      </c>
      <c r="B6" s="62" t="s">
        <v>598</v>
      </c>
      <c r="C6" s="79">
        <v>30</v>
      </c>
      <c r="D6" s="80">
        <v>100</v>
      </c>
      <c r="E6" s="100">
        <v>710000</v>
      </c>
      <c r="F6" s="82">
        <v>0</v>
      </c>
      <c r="G6" s="83">
        <v>0</v>
      </c>
      <c r="H6" s="83">
        <v>1</v>
      </c>
      <c r="I6" s="83">
        <v>0</v>
      </c>
      <c r="J6" s="84">
        <v>0</v>
      </c>
      <c r="K6" s="82">
        <v>0.3</v>
      </c>
      <c r="L6" s="83">
        <v>0.54999999999999993</v>
      </c>
      <c r="M6" s="83">
        <v>9.9999999999999992E-2</v>
      </c>
      <c r="N6" s="83">
        <v>4.9999999999999996E-2</v>
      </c>
      <c r="O6" s="84">
        <v>0</v>
      </c>
      <c r="P6" s="105">
        <v>0</v>
      </c>
      <c r="Q6" s="106">
        <v>3000</v>
      </c>
      <c r="R6" s="105">
        <v>10000</v>
      </c>
      <c r="S6" s="106">
        <v>2000</v>
      </c>
      <c r="T6" s="87"/>
      <c r="U6" s="66" t="s">
        <v>599</v>
      </c>
    </row>
    <row r="7" spans="1:21" ht="75" x14ac:dyDescent="0.25">
      <c r="A7" s="60" t="s">
        <v>597</v>
      </c>
      <c r="B7" s="62" t="s">
        <v>600</v>
      </c>
      <c r="C7" s="79">
        <v>86</v>
      </c>
      <c r="D7" s="80">
        <v>100</v>
      </c>
      <c r="E7" s="100">
        <v>35760000</v>
      </c>
      <c r="F7" s="82">
        <v>9.9999999999999985E-3</v>
      </c>
      <c r="G7" s="83">
        <v>0.36</v>
      </c>
      <c r="H7" s="83">
        <v>0.53999999999999992</v>
      </c>
      <c r="I7" s="83">
        <v>0.09</v>
      </c>
      <c r="J7" s="84">
        <v>0</v>
      </c>
      <c r="K7" s="82">
        <v>0.3</v>
      </c>
      <c r="L7" s="83">
        <v>0.54999999999999993</v>
      </c>
      <c r="M7" s="83">
        <v>9.9999999999999992E-2</v>
      </c>
      <c r="N7" s="83">
        <v>4.9999999999999996E-2</v>
      </c>
      <c r="O7" s="84">
        <v>0</v>
      </c>
      <c r="P7" s="105">
        <v>60000</v>
      </c>
      <c r="Q7" s="106">
        <v>144000</v>
      </c>
      <c r="R7" s="105">
        <v>460000</v>
      </c>
      <c r="S7" s="106">
        <v>91000</v>
      </c>
      <c r="T7" s="87"/>
      <c r="U7" s="66" t="s">
        <v>601</v>
      </c>
    </row>
    <row r="8" spans="1:21" ht="60" x14ac:dyDescent="0.25">
      <c r="A8" s="60" t="s">
        <v>597</v>
      </c>
      <c r="B8" s="62" t="s">
        <v>602</v>
      </c>
      <c r="C8" s="79">
        <v>52</v>
      </c>
      <c r="D8" s="80">
        <v>80</v>
      </c>
      <c r="E8" s="100">
        <v>140000</v>
      </c>
      <c r="F8" s="82">
        <v>0</v>
      </c>
      <c r="G8" s="83">
        <v>0</v>
      </c>
      <c r="H8" s="83">
        <v>1</v>
      </c>
      <c r="I8" s="83">
        <v>0</v>
      </c>
      <c r="J8" s="84">
        <v>0</v>
      </c>
      <c r="K8" s="82">
        <v>0.3</v>
      </c>
      <c r="L8" s="83">
        <v>0.54999999999999993</v>
      </c>
      <c r="M8" s="83">
        <v>9.9999999999999992E-2</v>
      </c>
      <c r="N8" s="83">
        <v>4.9999999999999996E-2</v>
      </c>
      <c r="O8" s="84">
        <v>0</v>
      </c>
      <c r="P8" s="105">
        <v>0</v>
      </c>
      <c r="Q8" s="106">
        <v>2000</v>
      </c>
      <c r="R8" s="105">
        <v>3000</v>
      </c>
      <c r="S8" s="106">
        <v>1000</v>
      </c>
      <c r="T8" s="87"/>
      <c r="U8" s="66" t="s">
        <v>603</v>
      </c>
    </row>
    <row r="9" spans="1:21" ht="60" x14ac:dyDescent="0.25">
      <c r="A9" s="60" t="s">
        <v>597</v>
      </c>
      <c r="B9" s="62" t="s">
        <v>604</v>
      </c>
      <c r="C9" s="79">
        <v>9</v>
      </c>
      <c r="D9" s="80">
        <v>80</v>
      </c>
      <c r="E9" s="100">
        <v>5480000</v>
      </c>
      <c r="F9" s="82">
        <v>0</v>
      </c>
      <c r="G9" s="83">
        <v>1</v>
      </c>
      <c r="H9" s="83">
        <v>0</v>
      </c>
      <c r="I9" s="83">
        <v>0</v>
      </c>
      <c r="J9" s="84">
        <v>0</v>
      </c>
      <c r="K9" s="82">
        <v>0.3</v>
      </c>
      <c r="L9" s="83">
        <v>0.54999999999999993</v>
      </c>
      <c r="M9" s="83">
        <v>9.9999999999999992E-2</v>
      </c>
      <c r="N9" s="83">
        <v>4.9999999999999996E-2</v>
      </c>
      <c r="O9" s="84">
        <v>0</v>
      </c>
      <c r="P9" s="105">
        <v>0</v>
      </c>
      <c r="Q9" s="106">
        <v>3000</v>
      </c>
      <c r="R9" s="105">
        <v>71000</v>
      </c>
      <c r="S9" s="106">
        <v>15000</v>
      </c>
      <c r="T9" s="87"/>
      <c r="U9" s="66" t="s">
        <v>603</v>
      </c>
    </row>
    <row r="10" spans="1:21" ht="135" x14ac:dyDescent="0.25">
      <c r="A10" s="60" t="s">
        <v>597</v>
      </c>
      <c r="B10" s="62" t="s">
        <v>605</v>
      </c>
      <c r="C10" s="79">
        <v>128</v>
      </c>
      <c r="D10" s="80">
        <v>150</v>
      </c>
      <c r="E10" s="100">
        <v>24150000</v>
      </c>
      <c r="F10" s="82">
        <v>9.9999999999999985E-3</v>
      </c>
      <c r="G10" s="83">
        <v>7.9999999999999988E-2</v>
      </c>
      <c r="H10" s="83">
        <v>0.32999999999999996</v>
      </c>
      <c r="I10" s="83">
        <v>0.57999999999999985</v>
      </c>
      <c r="J10" s="84">
        <v>0</v>
      </c>
      <c r="K10" s="82">
        <v>0.3</v>
      </c>
      <c r="L10" s="83">
        <v>0.54999999999999993</v>
      </c>
      <c r="M10" s="83">
        <v>9.9999999999999992E-2</v>
      </c>
      <c r="N10" s="83">
        <v>4.9999999999999996E-2</v>
      </c>
      <c r="O10" s="84">
        <v>0</v>
      </c>
      <c r="P10" s="105">
        <v>276000</v>
      </c>
      <c r="Q10" s="106">
        <v>20000</v>
      </c>
      <c r="R10" s="105">
        <v>260000</v>
      </c>
      <c r="S10" s="106">
        <v>52000</v>
      </c>
      <c r="T10" s="87"/>
      <c r="U10" s="68" t="s">
        <v>606</v>
      </c>
    </row>
    <row r="11" spans="1:21" ht="60" x14ac:dyDescent="0.25">
      <c r="A11" s="60" t="s">
        <v>597</v>
      </c>
      <c r="B11" s="62" t="s">
        <v>607</v>
      </c>
      <c r="C11" s="79">
        <v>68</v>
      </c>
      <c r="D11" s="80">
        <v>100</v>
      </c>
      <c r="E11" s="100">
        <v>6620000</v>
      </c>
      <c r="F11" s="82">
        <v>0</v>
      </c>
      <c r="G11" s="83">
        <v>0.36</v>
      </c>
      <c r="H11" s="83">
        <v>0.62999999999999989</v>
      </c>
      <c r="I11" s="83">
        <v>9.9999999999999985E-3</v>
      </c>
      <c r="J11" s="84">
        <v>0</v>
      </c>
      <c r="K11" s="82">
        <v>0.3</v>
      </c>
      <c r="L11" s="83">
        <v>0.54999999999999993</v>
      </c>
      <c r="M11" s="83">
        <v>9.9999999999999992E-2</v>
      </c>
      <c r="N11" s="83">
        <v>4.9999999999999996E-2</v>
      </c>
      <c r="O11" s="84">
        <v>0</v>
      </c>
      <c r="P11" s="105">
        <v>0</v>
      </c>
      <c r="Q11" s="106">
        <v>24000</v>
      </c>
      <c r="R11" s="105">
        <v>84000</v>
      </c>
      <c r="S11" s="106">
        <v>17000</v>
      </c>
      <c r="T11" s="87"/>
      <c r="U11" s="66" t="s">
        <v>603</v>
      </c>
    </row>
    <row r="12" spans="1:21" ht="60" x14ac:dyDescent="0.25">
      <c r="A12" s="60" t="s">
        <v>597</v>
      </c>
      <c r="B12" s="62" t="s">
        <v>608</v>
      </c>
      <c r="C12" s="79">
        <v>68</v>
      </c>
      <c r="D12" s="80">
        <v>100</v>
      </c>
      <c r="E12" s="100">
        <v>11560000</v>
      </c>
      <c r="F12" s="82">
        <v>0.19999999999999998</v>
      </c>
      <c r="G12" s="83">
        <v>0.76999999999999991</v>
      </c>
      <c r="H12" s="83">
        <v>0.03</v>
      </c>
      <c r="I12" s="83">
        <v>7.0000000000000007E-2</v>
      </c>
      <c r="J12" s="84">
        <v>0</v>
      </c>
      <c r="K12" s="82">
        <v>0.3</v>
      </c>
      <c r="L12" s="83">
        <v>0.54999999999999993</v>
      </c>
      <c r="M12" s="83">
        <v>9.9999999999999992E-2</v>
      </c>
      <c r="N12" s="83">
        <v>4.9999999999999996E-2</v>
      </c>
      <c r="O12" s="84">
        <v>0</v>
      </c>
      <c r="P12" s="105">
        <v>0</v>
      </c>
      <c r="Q12" s="106">
        <v>13000</v>
      </c>
      <c r="R12" s="105">
        <v>120000</v>
      </c>
      <c r="S12" s="106">
        <v>24000</v>
      </c>
      <c r="T12" s="87"/>
      <c r="U12" s="66" t="s">
        <v>603</v>
      </c>
    </row>
    <row r="13" spans="1:21" ht="75" x14ac:dyDescent="0.25">
      <c r="A13" s="60" t="s">
        <v>597</v>
      </c>
      <c r="B13" s="61" t="s">
        <v>609</v>
      </c>
      <c r="C13" s="79">
        <v>68</v>
      </c>
      <c r="D13" s="80">
        <v>100</v>
      </c>
      <c r="E13" s="100">
        <v>4210000</v>
      </c>
      <c r="F13" s="82">
        <v>0.12</v>
      </c>
      <c r="G13" s="83">
        <v>0.78999999999999992</v>
      </c>
      <c r="H13" s="83">
        <v>0.09</v>
      </c>
      <c r="I13" s="83">
        <v>0</v>
      </c>
      <c r="J13" s="84">
        <v>0</v>
      </c>
      <c r="K13" s="82">
        <v>0.3</v>
      </c>
      <c r="L13" s="83">
        <v>0.54999999999999993</v>
      </c>
      <c r="M13" s="83">
        <v>9.9999999999999992E-2</v>
      </c>
      <c r="N13" s="83">
        <v>4.9999999999999996E-2</v>
      </c>
      <c r="O13" s="84">
        <v>0</v>
      </c>
      <c r="P13" s="105">
        <v>6000</v>
      </c>
      <c r="Q13" s="106">
        <v>11000</v>
      </c>
      <c r="R13" s="105">
        <v>43000</v>
      </c>
      <c r="S13" s="106">
        <v>9</v>
      </c>
      <c r="T13" s="87"/>
      <c r="U13" s="66" t="s">
        <v>610</v>
      </c>
    </row>
    <row r="14" spans="1:21" ht="75" x14ac:dyDescent="0.25">
      <c r="A14" s="60" t="s">
        <v>597</v>
      </c>
      <c r="B14" s="62" t="s">
        <v>611</v>
      </c>
      <c r="C14" s="79">
        <v>109</v>
      </c>
      <c r="D14" s="80">
        <v>150</v>
      </c>
      <c r="E14" s="100">
        <v>137160000</v>
      </c>
      <c r="F14" s="82">
        <v>0</v>
      </c>
      <c r="G14" s="83">
        <v>0</v>
      </c>
      <c r="H14" s="83">
        <v>1</v>
      </c>
      <c r="I14" s="83">
        <v>0</v>
      </c>
      <c r="J14" s="84">
        <v>0</v>
      </c>
      <c r="K14" s="82">
        <v>0.3</v>
      </c>
      <c r="L14" s="83">
        <v>0.54999999999999993</v>
      </c>
      <c r="M14" s="83">
        <v>9.9999999999999992E-2</v>
      </c>
      <c r="N14" s="83">
        <v>4.9999999999999996E-2</v>
      </c>
      <c r="O14" s="84">
        <v>0</v>
      </c>
      <c r="P14" s="105">
        <v>32000</v>
      </c>
      <c r="Q14" s="106">
        <v>114000</v>
      </c>
      <c r="R14" s="105">
        <v>1290000</v>
      </c>
      <c r="S14" s="106">
        <v>257000</v>
      </c>
      <c r="T14" s="87"/>
      <c r="U14" s="66" t="s">
        <v>612</v>
      </c>
    </row>
    <row r="15" spans="1:21" ht="60" x14ac:dyDescent="0.25">
      <c r="A15" s="60" t="s">
        <v>597</v>
      </c>
      <c r="B15" s="62" t="s">
        <v>613</v>
      </c>
      <c r="C15" s="79">
        <v>68</v>
      </c>
      <c r="D15" s="80">
        <v>100</v>
      </c>
      <c r="E15" s="100">
        <v>160000</v>
      </c>
      <c r="F15" s="82">
        <v>0.65999999999999992</v>
      </c>
      <c r="G15" s="83">
        <v>0.16999999999999998</v>
      </c>
      <c r="H15" s="83">
        <v>0.16999999999999998</v>
      </c>
      <c r="I15" s="83">
        <v>0</v>
      </c>
      <c r="J15" s="84">
        <v>0</v>
      </c>
      <c r="K15" s="82">
        <v>0.3</v>
      </c>
      <c r="L15" s="83">
        <v>0.54999999999999993</v>
      </c>
      <c r="M15" s="83">
        <v>9.9999999999999992E-2</v>
      </c>
      <c r="N15" s="83">
        <v>4.9999999999999996E-2</v>
      </c>
      <c r="O15" s="84">
        <v>0</v>
      </c>
      <c r="P15" s="105">
        <v>0</v>
      </c>
      <c r="Q15" s="106">
        <v>12000</v>
      </c>
      <c r="R15" s="105">
        <v>2000</v>
      </c>
      <c r="S15" s="106">
        <v>1000</v>
      </c>
      <c r="T15" s="87"/>
      <c r="U15" s="66" t="s">
        <v>603</v>
      </c>
    </row>
    <row r="16" spans="1:21" ht="60" x14ac:dyDescent="0.25">
      <c r="A16" s="60" t="s">
        <v>614</v>
      </c>
      <c r="B16" s="61" t="s">
        <v>615</v>
      </c>
      <c r="C16" s="79">
        <v>25</v>
      </c>
      <c r="D16" s="80">
        <v>30</v>
      </c>
      <c r="E16" s="100">
        <v>47700000</v>
      </c>
      <c r="F16" s="82">
        <v>0.3</v>
      </c>
      <c r="G16" s="83">
        <v>0.39999999999999997</v>
      </c>
      <c r="H16" s="83">
        <v>0.25</v>
      </c>
      <c r="I16" s="83">
        <v>4.9999999999999996E-2</v>
      </c>
      <c r="J16" s="84">
        <v>0</v>
      </c>
      <c r="K16" s="82">
        <v>0.32999999999999996</v>
      </c>
      <c r="L16" s="83">
        <v>0.54999999999999993</v>
      </c>
      <c r="M16" s="83">
        <v>0.12</v>
      </c>
      <c r="N16" s="83">
        <v>0</v>
      </c>
      <c r="O16" s="84">
        <v>0</v>
      </c>
      <c r="P16" s="105">
        <v>0</v>
      </c>
      <c r="Q16" s="106">
        <v>200000</v>
      </c>
      <c r="R16" s="105">
        <v>10000000</v>
      </c>
      <c r="S16" s="106">
        <v>2000000</v>
      </c>
      <c r="T16" s="87"/>
      <c r="U16" s="66" t="s">
        <v>616</v>
      </c>
    </row>
    <row r="17" spans="1:21" ht="75" x14ac:dyDescent="0.25">
      <c r="A17" s="60" t="s">
        <v>614</v>
      </c>
      <c r="B17" s="61" t="s">
        <v>53</v>
      </c>
      <c r="C17" s="79">
        <v>28</v>
      </c>
      <c r="D17" s="80">
        <v>30</v>
      </c>
      <c r="E17" s="100">
        <v>8000000</v>
      </c>
      <c r="F17" s="82">
        <v>0.19999999999999998</v>
      </c>
      <c r="G17" s="83">
        <v>0.19999999999999998</v>
      </c>
      <c r="H17" s="83">
        <v>0.16999999999999998</v>
      </c>
      <c r="I17" s="83">
        <v>0.37</v>
      </c>
      <c r="J17" s="84">
        <v>0.06</v>
      </c>
      <c r="K17" s="82">
        <v>0.62999999999999989</v>
      </c>
      <c r="L17" s="83">
        <v>0.3</v>
      </c>
      <c r="M17" s="83">
        <v>7.0000000000000007E-2</v>
      </c>
      <c r="N17" s="83">
        <v>0</v>
      </c>
      <c r="O17" s="84">
        <v>0</v>
      </c>
      <c r="P17" s="105">
        <v>230000</v>
      </c>
      <c r="Q17" s="106">
        <v>50000</v>
      </c>
      <c r="R17" s="105">
        <v>8000000</v>
      </c>
      <c r="S17" s="106">
        <v>300000</v>
      </c>
      <c r="T17" s="87"/>
      <c r="U17" s="66" t="s">
        <v>617</v>
      </c>
    </row>
    <row r="18" spans="1:21" ht="45" x14ac:dyDescent="0.25">
      <c r="A18" s="60" t="s">
        <v>59</v>
      </c>
      <c r="B18" s="61" t="s">
        <v>618</v>
      </c>
      <c r="C18" s="79">
        <v>28.299999999999997</v>
      </c>
      <c r="D18" s="80">
        <v>36.700000000000003</v>
      </c>
      <c r="E18" s="100">
        <v>1550000</v>
      </c>
      <c r="F18" s="82">
        <v>0.32999999999999996</v>
      </c>
      <c r="G18" s="83">
        <v>0.42</v>
      </c>
      <c r="H18" s="83">
        <v>0.25</v>
      </c>
      <c r="I18" s="83">
        <v>0</v>
      </c>
      <c r="J18" s="84">
        <v>0</v>
      </c>
      <c r="K18" s="82">
        <v>0.66999999999999993</v>
      </c>
      <c r="L18" s="83">
        <v>0.32999999999999996</v>
      </c>
      <c r="M18" s="83">
        <v>0</v>
      </c>
      <c r="N18" s="83">
        <v>0</v>
      </c>
      <c r="O18" s="84">
        <v>0</v>
      </c>
      <c r="P18" s="105">
        <v>56000</v>
      </c>
      <c r="Q18" s="106">
        <v>0</v>
      </c>
      <c r="R18" s="105">
        <v>3200000</v>
      </c>
      <c r="S18" s="106">
        <v>0</v>
      </c>
      <c r="T18" s="87"/>
      <c r="U18" s="66" t="s">
        <v>619</v>
      </c>
    </row>
    <row r="19" spans="1:21" ht="45" x14ac:dyDescent="0.25">
      <c r="A19" s="60" t="s">
        <v>59</v>
      </c>
      <c r="B19" s="61" t="s">
        <v>620</v>
      </c>
      <c r="C19" s="79">
        <v>47.5</v>
      </c>
      <c r="D19" s="80">
        <v>45</v>
      </c>
      <c r="E19" s="100">
        <v>2625000</v>
      </c>
      <c r="F19" s="82">
        <v>0.15</v>
      </c>
      <c r="G19" s="83">
        <v>0</v>
      </c>
      <c r="H19" s="83">
        <v>0.85</v>
      </c>
      <c r="I19" s="83">
        <v>0</v>
      </c>
      <c r="J19" s="84">
        <v>0</v>
      </c>
      <c r="K19" s="82">
        <v>0.25</v>
      </c>
      <c r="L19" s="83">
        <v>0.41</v>
      </c>
      <c r="M19" s="83">
        <v>0.33999999999999997</v>
      </c>
      <c r="N19" s="83">
        <v>0</v>
      </c>
      <c r="O19" s="84">
        <v>0</v>
      </c>
      <c r="P19" s="105">
        <v>200000</v>
      </c>
      <c r="Q19" s="106">
        <v>150000</v>
      </c>
      <c r="R19" s="105">
        <v>1000000</v>
      </c>
      <c r="S19" s="106">
        <v>150000</v>
      </c>
      <c r="T19" s="87"/>
      <c r="U19" s="68" t="s">
        <v>621</v>
      </c>
    </row>
    <row r="20" spans="1:21" ht="30" x14ac:dyDescent="0.25">
      <c r="A20" s="60" t="s">
        <v>59</v>
      </c>
      <c r="B20" s="61" t="s">
        <v>622</v>
      </c>
      <c r="C20" s="79">
        <v>25</v>
      </c>
      <c r="D20" s="80">
        <v>20</v>
      </c>
      <c r="E20" s="100">
        <v>9500000</v>
      </c>
      <c r="F20" s="82">
        <v>0.35</v>
      </c>
      <c r="G20" s="83">
        <v>0.25</v>
      </c>
      <c r="H20" s="83">
        <v>0.3</v>
      </c>
      <c r="I20" s="83">
        <v>0</v>
      </c>
      <c r="J20" s="84">
        <v>9.9999999999999992E-2</v>
      </c>
      <c r="K20" s="82">
        <v>0.5</v>
      </c>
      <c r="L20" s="83">
        <v>0.5</v>
      </c>
      <c r="M20" s="83">
        <v>0</v>
      </c>
      <c r="N20" s="83">
        <v>0</v>
      </c>
      <c r="O20" s="84">
        <v>0</v>
      </c>
      <c r="P20" s="105">
        <v>69000</v>
      </c>
      <c r="Q20" s="106">
        <v>80000</v>
      </c>
      <c r="R20" s="105">
        <v>3300000</v>
      </c>
      <c r="S20" s="106">
        <v>0</v>
      </c>
      <c r="T20" s="87"/>
      <c r="U20" s="68" t="s">
        <v>623</v>
      </c>
    </row>
    <row r="21" spans="1:21" ht="60" x14ac:dyDescent="0.25">
      <c r="A21" s="60" t="s">
        <v>59</v>
      </c>
      <c r="B21" s="61" t="s">
        <v>624</v>
      </c>
      <c r="C21" s="79">
        <v>22</v>
      </c>
      <c r="D21" s="80">
        <v>40</v>
      </c>
      <c r="E21" s="100">
        <v>12000000</v>
      </c>
      <c r="F21" s="82">
        <v>0.35</v>
      </c>
      <c r="G21" s="83">
        <v>9.9999999999999992E-2</v>
      </c>
      <c r="H21" s="83">
        <v>0.54999999999999993</v>
      </c>
      <c r="I21" s="83">
        <v>0</v>
      </c>
      <c r="J21" s="84">
        <v>0</v>
      </c>
      <c r="K21" s="82">
        <v>0.44999999999999996</v>
      </c>
      <c r="L21" s="83">
        <v>0.44999999999999996</v>
      </c>
      <c r="M21" s="83">
        <v>9.9999999999999992E-2</v>
      </c>
      <c r="N21" s="83">
        <v>0</v>
      </c>
      <c r="O21" s="84">
        <v>0</v>
      </c>
      <c r="P21" s="105">
        <v>1100000</v>
      </c>
      <c r="Q21" s="106">
        <v>350000</v>
      </c>
      <c r="R21" s="105">
        <v>5000000</v>
      </c>
      <c r="S21" s="106">
        <v>3800000</v>
      </c>
      <c r="T21" s="87"/>
      <c r="U21" s="66" t="s">
        <v>625</v>
      </c>
    </row>
    <row r="22" spans="1:21" ht="120" x14ac:dyDescent="0.25">
      <c r="A22" s="60" t="s">
        <v>72</v>
      </c>
      <c r="B22" s="287" t="s">
        <v>626</v>
      </c>
      <c r="C22" s="79">
        <v>50</v>
      </c>
      <c r="D22" s="80">
        <v>80</v>
      </c>
      <c r="E22" s="100">
        <v>50000000</v>
      </c>
      <c r="F22" s="82">
        <v>0.25</v>
      </c>
      <c r="G22" s="83">
        <v>0.3</v>
      </c>
      <c r="H22" s="83">
        <v>0.19999999999999998</v>
      </c>
      <c r="I22" s="83">
        <v>0.25</v>
      </c>
      <c r="J22" s="84">
        <v>0</v>
      </c>
      <c r="K22" s="82">
        <v>0.5</v>
      </c>
      <c r="L22" s="83">
        <v>0.3</v>
      </c>
      <c r="M22" s="83">
        <v>0.19999999999999998</v>
      </c>
      <c r="N22" s="83">
        <v>0</v>
      </c>
      <c r="O22" s="84">
        <v>0</v>
      </c>
      <c r="P22" s="105">
        <v>1800000</v>
      </c>
      <c r="Q22" s="106">
        <v>100000</v>
      </c>
      <c r="R22" s="105">
        <v>30000000</v>
      </c>
      <c r="S22" s="106">
        <v>200000</v>
      </c>
      <c r="T22" s="87"/>
      <c r="U22" s="66" t="s">
        <v>627</v>
      </c>
    </row>
    <row r="23" spans="1:21" ht="15.75" thickBot="1" x14ac:dyDescent="0.3">
      <c r="A23" s="63" t="s">
        <v>628</v>
      </c>
      <c r="B23" s="64" t="s">
        <v>629</v>
      </c>
      <c r="C23" s="90"/>
      <c r="D23" s="91"/>
      <c r="E23" s="101"/>
      <c r="F23" s="93"/>
      <c r="G23" s="94"/>
      <c r="H23" s="94"/>
      <c r="I23" s="94"/>
      <c r="J23" s="95"/>
      <c r="K23" s="93"/>
      <c r="L23" s="94"/>
      <c r="M23" s="94"/>
      <c r="N23" s="94"/>
      <c r="O23" s="95"/>
      <c r="P23" s="109"/>
      <c r="Q23" s="110"/>
      <c r="R23" s="109"/>
      <c r="S23" s="110"/>
      <c r="T23" s="98"/>
      <c r="U23" s="69" t="s">
        <v>630</v>
      </c>
    </row>
    <row r="24" spans="1:21" ht="24.95" customHeight="1" thickBot="1" x14ac:dyDescent="0.3">
      <c r="A24" s="2"/>
      <c r="B24" s="2"/>
      <c r="E24" s="111">
        <f>SUM(E3:E23)</f>
        <v>445625000</v>
      </c>
      <c r="P24" s="1053">
        <f>SUM(P3:Q23)</f>
        <v>6208000</v>
      </c>
      <c r="Q24" s="1034"/>
      <c r="R24" s="1053">
        <f>SUM(R3:S23)</f>
        <v>126553009</v>
      </c>
      <c r="S24" s="1034"/>
    </row>
    <row r="25" spans="1:21" x14ac:dyDescent="0.25">
      <c r="A25" s="2"/>
      <c r="B25" s="2"/>
    </row>
    <row r="26" spans="1:21" x14ac:dyDescent="0.25">
      <c r="A26" s="2"/>
      <c r="B26" s="2"/>
    </row>
    <row r="27" spans="1:21" x14ac:dyDescent="0.25">
      <c r="A27" s="2"/>
      <c r="B27" s="2"/>
    </row>
    <row r="28" spans="1:21" x14ac:dyDescent="0.25">
      <c r="A28" s="2"/>
      <c r="B28" s="2"/>
    </row>
    <row r="29" spans="1:21" x14ac:dyDescent="0.25">
      <c r="A29" s="2"/>
      <c r="B29" s="2"/>
    </row>
  </sheetData>
  <mergeCells count="12">
    <mergeCell ref="P24:Q24"/>
    <mergeCell ref="R24:S24"/>
    <mergeCell ref="P1:Q1"/>
    <mergeCell ref="R1:S1"/>
    <mergeCell ref="T1:T2"/>
    <mergeCell ref="U1:U2"/>
    <mergeCell ref="A1:B1"/>
    <mergeCell ref="C1:C2"/>
    <mergeCell ref="D1:D2"/>
    <mergeCell ref="E1:E2"/>
    <mergeCell ref="F1:J1"/>
    <mergeCell ref="K1:O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10">
    <tabColor rgb="FFFF0000"/>
  </sheetPr>
  <dimension ref="A1:U26"/>
  <sheetViews>
    <sheetView topLeftCell="A6" zoomScale="85" zoomScaleNormal="85" workbookViewId="0">
      <selection activeCell="A12" sqref="A12:E15"/>
    </sheetView>
  </sheetViews>
  <sheetFormatPr baseColWidth="10" defaultColWidth="11.42578125" defaultRowHeight="15" x14ac:dyDescent="0.25"/>
  <cols>
    <col min="1" max="1" width="36.85546875" style="1" bestFit="1" customWidth="1"/>
    <col min="2" max="2" width="45.140625" style="1" bestFit="1" customWidth="1"/>
    <col min="3" max="3" width="6.140625" style="1" bestFit="1" customWidth="1"/>
    <col min="4" max="4" width="7.42578125" style="1" bestFit="1" customWidth="1"/>
    <col min="5" max="5" width="17.85546875" style="1" bestFit="1" customWidth="1"/>
    <col min="6" max="13" width="5.85546875" style="1" bestFit="1" customWidth="1"/>
    <col min="14" max="15" width="5.42578125" style="1" bestFit="1" customWidth="1"/>
    <col min="16" max="16" width="8.85546875" style="1" bestFit="1" customWidth="1"/>
    <col min="17" max="17" width="9.140625" style="1" bestFit="1" customWidth="1"/>
    <col min="18" max="18" width="12" style="1" bestFit="1" customWidth="1"/>
    <col min="19" max="19" width="10.85546875" style="1" bestFit="1" customWidth="1"/>
    <col min="20" max="20" width="5.42578125" style="1" bestFit="1" customWidth="1"/>
    <col min="21" max="21" width="81.42578125" style="1" bestFit="1" customWidth="1"/>
    <col min="22" max="16384" width="11.42578125" style="1"/>
  </cols>
  <sheetData>
    <row r="1" spans="1:21" ht="55.5" customHeight="1" thickBot="1" x14ac:dyDescent="0.3">
      <c r="A1" s="1035" t="s">
        <v>631</v>
      </c>
      <c r="B1" s="1037"/>
      <c r="C1" s="1047" t="s">
        <v>0</v>
      </c>
      <c r="D1" s="1049" t="s">
        <v>574</v>
      </c>
      <c r="E1" s="1051" t="s">
        <v>575</v>
      </c>
      <c r="F1" s="1038" t="s">
        <v>3</v>
      </c>
      <c r="G1" s="1046"/>
      <c r="H1" s="1046"/>
      <c r="I1" s="1046"/>
      <c r="J1" s="1039"/>
      <c r="K1" s="1038" t="s">
        <v>4</v>
      </c>
      <c r="L1" s="1046"/>
      <c r="M1" s="1046"/>
      <c r="N1" s="1046"/>
      <c r="O1" s="1039"/>
      <c r="P1" s="1038" t="s">
        <v>576</v>
      </c>
      <c r="Q1" s="1039"/>
      <c r="R1" s="1038" t="s">
        <v>589</v>
      </c>
      <c r="S1" s="1039"/>
      <c r="T1" s="1040" t="s">
        <v>5</v>
      </c>
      <c r="U1" s="1042" t="s">
        <v>485</v>
      </c>
    </row>
    <row r="2" spans="1:21" s="3" customFormat="1" ht="99" customHeight="1" thickBot="1" x14ac:dyDescent="0.3">
      <c r="A2" s="14" t="s">
        <v>271</v>
      </c>
      <c r="B2" s="15" t="s">
        <v>272</v>
      </c>
      <c r="C2" s="1048"/>
      <c r="D2" s="1050"/>
      <c r="E2" s="1052"/>
      <c r="F2" s="136" t="s">
        <v>11</v>
      </c>
      <c r="G2" s="16" t="s">
        <v>12</v>
      </c>
      <c r="H2" s="16" t="s">
        <v>13</v>
      </c>
      <c r="I2" s="16" t="s">
        <v>14</v>
      </c>
      <c r="J2" s="137" t="s">
        <v>15</v>
      </c>
      <c r="K2" s="136" t="s">
        <v>11</v>
      </c>
      <c r="L2" s="16" t="s">
        <v>12</v>
      </c>
      <c r="M2" s="16" t="s">
        <v>13</v>
      </c>
      <c r="N2" s="16" t="s">
        <v>14</v>
      </c>
      <c r="O2" s="137" t="s">
        <v>15</v>
      </c>
      <c r="P2" s="136" t="s">
        <v>539</v>
      </c>
      <c r="Q2" s="137" t="s">
        <v>17</v>
      </c>
      <c r="R2" s="136" t="s">
        <v>539</v>
      </c>
      <c r="S2" s="137" t="s">
        <v>17</v>
      </c>
      <c r="T2" s="1041"/>
      <c r="U2" s="1043"/>
    </row>
    <row r="3" spans="1:21" ht="30" x14ac:dyDescent="0.25">
      <c r="A3" s="58" t="s">
        <v>590</v>
      </c>
      <c r="B3" s="59" t="s">
        <v>591</v>
      </c>
      <c r="C3" s="70">
        <v>28</v>
      </c>
      <c r="D3" s="71">
        <v>26.25</v>
      </c>
      <c r="E3" s="72">
        <v>9100000</v>
      </c>
      <c r="F3" s="73">
        <v>0.15</v>
      </c>
      <c r="G3" s="74">
        <v>0.25</v>
      </c>
      <c r="H3" s="74">
        <v>0.25</v>
      </c>
      <c r="I3" s="74">
        <v>9.9999999999999992E-2</v>
      </c>
      <c r="J3" s="75">
        <v>0.25</v>
      </c>
      <c r="K3" s="73">
        <v>0.19999999999999998</v>
      </c>
      <c r="L3" s="74">
        <v>0.79999999999999993</v>
      </c>
      <c r="M3" s="74">
        <v>0</v>
      </c>
      <c r="N3" s="74">
        <v>0</v>
      </c>
      <c r="O3" s="75">
        <v>0</v>
      </c>
      <c r="P3" s="76">
        <v>250000</v>
      </c>
      <c r="Q3" s="77">
        <v>50000</v>
      </c>
      <c r="R3" s="78">
        <v>5250000</v>
      </c>
      <c r="S3" s="77">
        <v>1300000</v>
      </c>
      <c r="T3" s="72"/>
      <c r="U3" s="65" t="s">
        <v>632</v>
      </c>
    </row>
    <row r="4" spans="1:21" ht="30" x14ac:dyDescent="0.25">
      <c r="A4" s="60" t="s">
        <v>590</v>
      </c>
      <c r="B4" s="61" t="s">
        <v>593</v>
      </c>
      <c r="C4" s="79">
        <v>28</v>
      </c>
      <c r="D4" s="80">
        <v>26.25</v>
      </c>
      <c r="E4" s="81">
        <v>7200000</v>
      </c>
      <c r="F4" s="82">
        <v>0.19999999999999998</v>
      </c>
      <c r="G4" s="83">
        <v>0.19999999999999998</v>
      </c>
      <c r="H4" s="83">
        <v>0.19999999999999998</v>
      </c>
      <c r="I4" s="83">
        <v>0.35</v>
      </c>
      <c r="J4" s="84">
        <v>4.9999999999999996E-2</v>
      </c>
      <c r="K4" s="82">
        <v>0.19999999999999998</v>
      </c>
      <c r="L4" s="83">
        <v>0.79999999999999993</v>
      </c>
      <c r="M4" s="83">
        <v>0</v>
      </c>
      <c r="N4" s="83">
        <v>0</v>
      </c>
      <c r="O4" s="84">
        <v>0</v>
      </c>
      <c r="P4" s="85">
        <v>50000</v>
      </c>
      <c r="Q4" s="86">
        <v>15000</v>
      </c>
      <c r="R4" s="85">
        <v>1950000</v>
      </c>
      <c r="S4" s="86">
        <v>1150000</v>
      </c>
      <c r="T4" s="87"/>
      <c r="U4" s="66" t="s">
        <v>633</v>
      </c>
    </row>
    <row r="5" spans="1:21" ht="90" x14ac:dyDescent="0.25">
      <c r="A5" s="60" t="s">
        <v>590</v>
      </c>
      <c r="B5" s="61" t="s">
        <v>595</v>
      </c>
      <c r="C5" s="79">
        <v>28</v>
      </c>
      <c r="D5" s="80">
        <v>26.25</v>
      </c>
      <c r="E5" s="81">
        <v>72000000</v>
      </c>
      <c r="F5" s="82">
        <v>0.19999999999999998</v>
      </c>
      <c r="G5" s="83">
        <v>0.19999999999999998</v>
      </c>
      <c r="H5" s="83">
        <v>0.15</v>
      </c>
      <c r="I5" s="83">
        <v>0.19999999999999998</v>
      </c>
      <c r="J5" s="84">
        <v>0.25</v>
      </c>
      <c r="K5" s="82">
        <v>0.19999999999999998</v>
      </c>
      <c r="L5" s="83">
        <v>0.79999999999999993</v>
      </c>
      <c r="M5" s="83">
        <v>0</v>
      </c>
      <c r="N5" s="83">
        <v>0</v>
      </c>
      <c r="O5" s="84">
        <v>0</v>
      </c>
      <c r="P5" s="85">
        <v>1900000</v>
      </c>
      <c r="Q5" s="88">
        <v>400000</v>
      </c>
      <c r="R5" s="89">
        <v>45000000</v>
      </c>
      <c r="S5" s="88">
        <v>2900000</v>
      </c>
      <c r="T5" s="81"/>
      <c r="U5" s="66" t="s">
        <v>634</v>
      </c>
    </row>
    <row r="6" spans="1:21" ht="60" x14ac:dyDescent="0.25">
      <c r="A6" s="60" t="s">
        <v>597</v>
      </c>
      <c r="B6" s="61" t="s">
        <v>635</v>
      </c>
      <c r="C6" s="79">
        <v>40</v>
      </c>
      <c r="D6" s="80">
        <v>65</v>
      </c>
      <c r="E6" s="81">
        <v>874000</v>
      </c>
      <c r="F6" s="82">
        <v>0</v>
      </c>
      <c r="G6" s="83">
        <v>0.28000000000000003</v>
      </c>
      <c r="H6" s="83">
        <v>0.72</v>
      </c>
      <c r="I6" s="83">
        <v>0</v>
      </c>
      <c r="J6" s="84">
        <v>0</v>
      </c>
      <c r="K6" s="82">
        <v>0.15</v>
      </c>
      <c r="L6" s="83">
        <v>0.35</v>
      </c>
      <c r="M6" s="83">
        <v>0.5</v>
      </c>
      <c r="N6" s="83">
        <v>0</v>
      </c>
      <c r="O6" s="84">
        <v>0</v>
      </c>
      <c r="P6" s="85">
        <v>0</v>
      </c>
      <c r="Q6" s="86">
        <v>20000</v>
      </c>
      <c r="R6" s="85">
        <v>180000</v>
      </c>
      <c r="S6" s="86">
        <v>0</v>
      </c>
      <c r="T6" s="87"/>
      <c r="U6" s="66" t="s">
        <v>636</v>
      </c>
    </row>
    <row r="7" spans="1:21" ht="60" x14ac:dyDescent="0.25">
      <c r="A7" s="60" t="s">
        <v>597</v>
      </c>
      <c r="B7" s="62" t="s">
        <v>637</v>
      </c>
      <c r="C7" s="79">
        <v>50</v>
      </c>
      <c r="D7" s="80">
        <v>56.699999999999996</v>
      </c>
      <c r="E7" s="81">
        <v>1744000</v>
      </c>
      <c r="F7" s="82">
        <v>0.48</v>
      </c>
      <c r="G7" s="83">
        <v>0.37</v>
      </c>
      <c r="H7" s="83">
        <v>7.9999999999999988E-2</v>
      </c>
      <c r="I7" s="83">
        <v>7.0000000000000007E-2</v>
      </c>
      <c r="J7" s="84">
        <v>0</v>
      </c>
      <c r="K7" s="82">
        <v>0.56999999999999984</v>
      </c>
      <c r="L7" s="83">
        <v>0.37</v>
      </c>
      <c r="M7" s="83">
        <v>0.06</v>
      </c>
      <c r="N7" s="83">
        <v>0</v>
      </c>
      <c r="O7" s="84">
        <v>0</v>
      </c>
      <c r="P7" s="85">
        <v>0</v>
      </c>
      <c r="Q7" s="86">
        <v>15000</v>
      </c>
      <c r="R7" s="85">
        <v>440000</v>
      </c>
      <c r="S7" s="86">
        <v>0</v>
      </c>
      <c r="T7" s="87"/>
      <c r="U7" s="66" t="s">
        <v>638</v>
      </c>
    </row>
    <row r="8" spans="1:21" ht="90" x14ac:dyDescent="0.25">
      <c r="A8" s="60" t="s">
        <v>597</v>
      </c>
      <c r="B8" s="62" t="s">
        <v>609</v>
      </c>
      <c r="C8" s="79">
        <v>50</v>
      </c>
      <c r="D8" s="80">
        <v>60</v>
      </c>
      <c r="E8" s="81">
        <v>15800000</v>
      </c>
      <c r="F8" s="82">
        <v>9.9999999999999992E-2</v>
      </c>
      <c r="G8" s="83">
        <v>0.7</v>
      </c>
      <c r="H8" s="83">
        <v>0.15</v>
      </c>
      <c r="I8" s="83">
        <v>4.9999999999999996E-2</v>
      </c>
      <c r="J8" s="84">
        <v>0</v>
      </c>
      <c r="K8" s="82">
        <v>0.15</v>
      </c>
      <c r="L8" s="83">
        <v>0.75</v>
      </c>
      <c r="M8" s="83">
        <v>9.9999999999999992E-2</v>
      </c>
      <c r="N8" s="83">
        <v>0</v>
      </c>
      <c r="O8" s="84">
        <v>0</v>
      </c>
      <c r="P8" s="85">
        <v>0</v>
      </c>
      <c r="Q8" s="86">
        <v>20000</v>
      </c>
      <c r="R8" s="85">
        <v>3000000</v>
      </c>
      <c r="S8" s="86">
        <v>0</v>
      </c>
      <c r="T8" s="87"/>
      <c r="U8" s="66" t="s">
        <v>639</v>
      </c>
    </row>
    <row r="9" spans="1:21" ht="60" x14ac:dyDescent="0.25">
      <c r="A9" s="60" t="s">
        <v>597</v>
      </c>
      <c r="B9" s="62" t="s">
        <v>611</v>
      </c>
      <c r="C9" s="79">
        <v>68</v>
      </c>
      <c r="D9" s="80">
        <v>56.3</v>
      </c>
      <c r="E9" s="81">
        <v>66500000</v>
      </c>
      <c r="F9" s="82">
        <v>0</v>
      </c>
      <c r="G9" s="83">
        <v>0.75</v>
      </c>
      <c r="H9" s="83">
        <v>0.18</v>
      </c>
      <c r="I9" s="83">
        <v>7.0000000000000007E-2</v>
      </c>
      <c r="J9" s="84">
        <v>0</v>
      </c>
      <c r="K9" s="82">
        <v>7.0000000000000007E-2</v>
      </c>
      <c r="L9" s="83">
        <v>0.83</v>
      </c>
      <c r="M9" s="83">
        <v>9.9999999999999992E-2</v>
      </c>
      <c r="N9" s="83">
        <v>0</v>
      </c>
      <c r="O9" s="84">
        <v>0</v>
      </c>
      <c r="P9" s="85">
        <v>0</v>
      </c>
      <c r="Q9" s="86">
        <v>20000</v>
      </c>
      <c r="R9" s="85">
        <v>1350000</v>
      </c>
      <c r="S9" s="86">
        <v>0</v>
      </c>
      <c r="T9" s="87"/>
      <c r="U9" s="66" t="s">
        <v>640</v>
      </c>
    </row>
    <row r="10" spans="1:21" ht="45" x14ac:dyDescent="0.25">
      <c r="A10" s="60" t="s">
        <v>614</v>
      </c>
      <c r="B10" s="61" t="s">
        <v>615</v>
      </c>
      <c r="C10" s="79">
        <v>25</v>
      </c>
      <c r="D10" s="80">
        <v>30</v>
      </c>
      <c r="E10" s="81">
        <v>47700000</v>
      </c>
      <c r="F10" s="82">
        <v>0.3</v>
      </c>
      <c r="G10" s="83">
        <v>0.39999999999999997</v>
      </c>
      <c r="H10" s="83">
        <v>0.25</v>
      </c>
      <c r="I10" s="83">
        <v>4.9999999999999996E-2</v>
      </c>
      <c r="J10" s="84">
        <v>0</v>
      </c>
      <c r="K10" s="82">
        <v>0.32999999999999996</v>
      </c>
      <c r="L10" s="83">
        <v>0.54999999999999993</v>
      </c>
      <c r="M10" s="83">
        <v>0.12</v>
      </c>
      <c r="N10" s="83">
        <v>0</v>
      </c>
      <c r="O10" s="84">
        <v>0</v>
      </c>
      <c r="P10" s="85">
        <v>1200000</v>
      </c>
      <c r="Q10" s="86">
        <v>350000</v>
      </c>
      <c r="R10" s="85">
        <v>10000000</v>
      </c>
      <c r="S10" s="86">
        <v>2000000</v>
      </c>
      <c r="T10" s="87"/>
      <c r="U10" s="66" t="s">
        <v>641</v>
      </c>
    </row>
    <row r="11" spans="1:21" ht="45" x14ac:dyDescent="0.25">
      <c r="A11" s="60" t="s">
        <v>614</v>
      </c>
      <c r="B11" s="61" t="s">
        <v>53</v>
      </c>
      <c r="C11" s="79">
        <v>26.7</v>
      </c>
      <c r="D11" s="80">
        <v>30</v>
      </c>
      <c r="E11" s="81">
        <v>3450000</v>
      </c>
      <c r="F11" s="82">
        <v>0.19999999999999998</v>
      </c>
      <c r="G11" s="83">
        <v>0.19999999999999998</v>
      </c>
      <c r="H11" s="83">
        <v>0.16999999999999998</v>
      </c>
      <c r="I11" s="83">
        <v>0.37</v>
      </c>
      <c r="J11" s="84">
        <v>0.06</v>
      </c>
      <c r="K11" s="82">
        <v>0.62999999999999989</v>
      </c>
      <c r="L11" s="83">
        <v>0.3</v>
      </c>
      <c r="M11" s="83">
        <v>7.0000000000000007E-2</v>
      </c>
      <c r="N11" s="83">
        <v>0</v>
      </c>
      <c r="O11" s="84">
        <v>0</v>
      </c>
      <c r="P11" s="85">
        <v>100000</v>
      </c>
      <c r="Q11" s="86">
        <v>50000</v>
      </c>
      <c r="R11" s="85">
        <v>6000000</v>
      </c>
      <c r="S11" s="86">
        <v>300000</v>
      </c>
      <c r="T11" s="87"/>
      <c r="U11" s="66" t="s">
        <v>642</v>
      </c>
    </row>
    <row r="12" spans="1:21" ht="45" x14ac:dyDescent="0.25">
      <c r="A12" s="60" t="s">
        <v>59</v>
      </c>
      <c r="B12" s="61" t="s">
        <v>618</v>
      </c>
      <c r="C12" s="79">
        <v>28.299999999999997</v>
      </c>
      <c r="D12" s="80">
        <v>36.700000000000003</v>
      </c>
      <c r="E12" s="81">
        <v>1550000</v>
      </c>
      <c r="F12" s="82">
        <v>0.32999999999999996</v>
      </c>
      <c r="G12" s="83">
        <v>0.42</v>
      </c>
      <c r="H12" s="83">
        <v>0.25</v>
      </c>
      <c r="I12" s="83">
        <v>0</v>
      </c>
      <c r="J12" s="84">
        <v>0</v>
      </c>
      <c r="K12" s="82">
        <v>0.66999999999999993</v>
      </c>
      <c r="L12" s="83">
        <v>0.32999999999999996</v>
      </c>
      <c r="M12" s="83">
        <v>0</v>
      </c>
      <c r="N12" s="83">
        <v>0</v>
      </c>
      <c r="O12" s="84">
        <v>0</v>
      </c>
      <c r="P12" s="85">
        <v>40000</v>
      </c>
      <c r="Q12" s="86">
        <v>0</v>
      </c>
      <c r="R12" s="85">
        <v>3200000</v>
      </c>
      <c r="S12" s="86">
        <v>0</v>
      </c>
      <c r="T12" s="87"/>
      <c r="U12" s="66" t="s">
        <v>619</v>
      </c>
    </row>
    <row r="13" spans="1:21" x14ac:dyDescent="0.25">
      <c r="A13" s="60" t="s">
        <v>59</v>
      </c>
      <c r="B13" s="61" t="s">
        <v>620</v>
      </c>
      <c r="C13" s="79">
        <v>47.5</v>
      </c>
      <c r="D13" s="80">
        <v>45</v>
      </c>
      <c r="E13" s="81">
        <v>2625000</v>
      </c>
      <c r="F13" s="82">
        <v>0.15</v>
      </c>
      <c r="G13" s="83">
        <v>0</v>
      </c>
      <c r="H13" s="83">
        <v>0.85</v>
      </c>
      <c r="I13" s="83">
        <v>0</v>
      </c>
      <c r="J13" s="84">
        <v>0</v>
      </c>
      <c r="K13" s="82">
        <v>0.25</v>
      </c>
      <c r="L13" s="83">
        <v>0.41</v>
      </c>
      <c r="M13" s="83">
        <v>0.33999999999999997</v>
      </c>
      <c r="N13" s="83">
        <v>0</v>
      </c>
      <c r="O13" s="84">
        <v>0</v>
      </c>
      <c r="P13" s="85">
        <v>200000</v>
      </c>
      <c r="Q13" s="86">
        <v>150000</v>
      </c>
      <c r="R13" s="85">
        <v>1000000</v>
      </c>
      <c r="S13" s="86">
        <v>150000</v>
      </c>
      <c r="T13" s="87"/>
      <c r="U13" s="67" t="s">
        <v>643</v>
      </c>
    </row>
    <row r="14" spans="1:21" ht="45" x14ac:dyDescent="0.25">
      <c r="A14" s="60" t="s">
        <v>59</v>
      </c>
      <c r="B14" s="61" t="s">
        <v>622</v>
      </c>
      <c r="C14" s="79">
        <v>25</v>
      </c>
      <c r="D14" s="80">
        <v>20</v>
      </c>
      <c r="E14" s="81">
        <v>9500000</v>
      </c>
      <c r="F14" s="82">
        <v>0.35</v>
      </c>
      <c r="G14" s="83">
        <v>0.25</v>
      </c>
      <c r="H14" s="83">
        <v>0.3</v>
      </c>
      <c r="I14" s="83">
        <v>0</v>
      </c>
      <c r="J14" s="84">
        <v>9.9999999999999992E-2</v>
      </c>
      <c r="K14" s="82">
        <v>0.5</v>
      </c>
      <c r="L14" s="83">
        <v>0.5</v>
      </c>
      <c r="M14" s="83">
        <v>0</v>
      </c>
      <c r="N14" s="83">
        <v>0</v>
      </c>
      <c r="O14" s="84">
        <v>0</v>
      </c>
      <c r="P14" s="85">
        <v>1000000</v>
      </c>
      <c r="Q14" s="86">
        <v>30000</v>
      </c>
      <c r="R14" s="85">
        <v>3300000</v>
      </c>
      <c r="S14" s="86">
        <v>0</v>
      </c>
      <c r="T14" s="87"/>
      <c r="U14" s="68" t="s">
        <v>644</v>
      </c>
    </row>
    <row r="15" spans="1:21" ht="60" x14ac:dyDescent="0.25">
      <c r="A15" s="60" t="s">
        <v>59</v>
      </c>
      <c r="B15" s="61" t="s">
        <v>624</v>
      </c>
      <c r="C15" s="79">
        <v>25</v>
      </c>
      <c r="D15" s="80">
        <v>40</v>
      </c>
      <c r="E15" s="81">
        <v>12000000</v>
      </c>
      <c r="F15" s="82">
        <v>0.35</v>
      </c>
      <c r="G15" s="83">
        <v>0</v>
      </c>
      <c r="H15" s="83">
        <v>0.64999999999999991</v>
      </c>
      <c r="I15" s="83">
        <v>0</v>
      </c>
      <c r="J15" s="84">
        <v>0</v>
      </c>
      <c r="K15" s="82">
        <v>0.44999999999999996</v>
      </c>
      <c r="L15" s="83">
        <v>0.44999999999999996</v>
      </c>
      <c r="M15" s="83">
        <v>9.9999999999999992E-2</v>
      </c>
      <c r="N15" s="83">
        <v>0</v>
      </c>
      <c r="O15" s="84">
        <v>0</v>
      </c>
      <c r="P15" s="85">
        <v>1500000</v>
      </c>
      <c r="Q15" s="86">
        <v>350000</v>
      </c>
      <c r="R15" s="85">
        <v>5000000</v>
      </c>
      <c r="S15" s="86">
        <v>3800000</v>
      </c>
      <c r="T15" s="87"/>
      <c r="U15" s="66" t="s">
        <v>645</v>
      </c>
    </row>
    <row r="16" spans="1:21" ht="90" x14ac:dyDescent="0.25">
      <c r="A16" s="60" t="s">
        <v>72</v>
      </c>
      <c r="B16" s="287" t="s">
        <v>626</v>
      </c>
      <c r="C16" s="79">
        <v>50</v>
      </c>
      <c r="D16" s="80">
        <v>80</v>
      </c>
      <c r="E16" s="81">
        <v>50000000</v>
      </c>
      <c r="F16" s="82">
        <v>0.25</v>
      </c>
      <c r="G16" s="83">
        <v>0.3</v>
      </c>
      <c r="H16" s="83">
        <v>0.19999999999999998</v>
      </c>
      <c r="I16" s="83">
        <v>0.25</v>
      </c>
      <c r="J16" s="84">
        <v>0</v>
      </c>
      <c r="K16" s="82">
        <v>0.5</v>
      </c>
      <c r="L16" s="83">
        <v>0.3</v>
      </c>
      <c r="M16" s="83">
        <v>0.19999999999999998</v>
      </c>
      <c r="N16" s="83">
        <v>0</v>
      </c>
      <c r="O16" s="84">
        <v>0</v>
      </c>
      <c r="P16" s="85">
        <v>1800000</v>
      </c>
      <c r="Q16" s="86">
        <v>100000</v>
      </c>
      <c r="R16" s="85">
        <v>30000000</v>
      </c>
      <c r="S16" s="86">
        <v>200000</v>
      </c>
      <c r="T16" s="87"/>
      <c r="U16" s="66" t="s">
        <v>646</v>
      </c>
    </row>
    <row r="17" spans="1:21" ht="15.75" thickBot="1" x14ac:dyDescent="0.3">
      <c r="A17" s="63" t="s">
        <v>628</v>
      </c>
      <c r="B17" s="64" t="s">
        <v>629</v>
      </c>
      <c r="C17" s="90"/>
      <c r="D17" s="91"/>
      <c r="E17" s="92"/>
      <c r="F17" s="93"/>
      <c r="G17" s="94"/>
      <c r="H17" s="94"/>
      <c r="I17" s="94"/>
      <c r="J17" s="95"/>
      <c r="K17" s="93"/>
      <c r="L17" s="94"/>
      <c r="M17" s="94"/>
      <c r="N17" s="94"/>
      <c r="O17" s="95"/>
      <c r="P17" s="96"/>
      <c r="Q17" s="97"/>
      <c r="R17" s="96"/>
      <c r="S17" s="97"/>
      <c r="T17" s="98"/>
      <c r="U17" s="69" t="s">
        <v>630</v>
      </c>
    </row>
    <row r="18" spans="1:21" ht="16.5" thickBot="1" x14ac:dyDescent="0.3">
      <c r="A18" s="2"/>
      <c r="B18" s="2"/>
      <c r="E18" s="56">
        <f>SUM(E3:E17)</f>
        <v>300043000</v>
      </c>
      <c r="P18" s="1054">
        <f>SUM(P3:Q17)</f>
        <v>9610000</v>
      </c>
      <c r="Q18" s="1055"/>
      <c r="R18" s="1054">
        <f>SUM(R3:S17)</f>
        <v>127470000</v>
      </c>
      <c r="S18" s="1055"/>
    </row>
    <row r="19" spans="1:21" x14ac:dyDescent="0.25">
      <c r="A19" s="2"/>
      <c r="B19" s="2"/>
    </row>
    <row r="20" spans="1:21" x14ac:dyDescent="0.25">
      <c r="A20" s="2"/>
      <c r="B20" s="2"/>
    </row>
    <row r="21" spans="1:21" x14ac:dyDescent="0.25">
      <c r="A21" s="2"/>
      <c r="B21" s="2"/>
    </row>
    <row r="22" spans="1:21" x14ac:dyDescent="0.25">
      <c r="A22" s="2"/>
      <c r="B22" s="2"/>
    </row>
    <row r="23" spans="1:21" x14ac:dyDescent="0.25">
      <c r="A23" s="2"/>
      <c r="B23" s="2"/>
    </row>
    <row r="24" spans="1:21" x14ac:dyDescent="0.25">
      <c r="A24" s="2"/>
      <c r="B24" s="2"/>
    </row>
    <row r="25" spans="1:21" x14ac:dyDescent="0.25">
      <c r="A25" s="2"/>
      <c r="B25" s="2"/>
    </row>
    <row r="26" spans="1:21" x14ac:dyDescent="0.25">
      <c r="A26" s="2"/>
      <c r="B26" s="2"/>
    </row>
  </sheetData>
  <mergeCells count="12">
    <mergeCell ref="P1:Q1"/>
    <mergeCell ref="R1:S1"/>
    <mergeCell ref="T1:T2"/>
    <mergeCell ref="U1:U2"/>
    <mergeCell ref="P18:Q18"/>
    <mergeCell ref="R18:S18"/>
    <mergeCell ref="K1:O1"/>
    <mergeCell ref="A1:B1"/>
    <mergeCell ref="C1:C2"/>
    <mergeCell ref="D1:D2"/>
    <mergeCell ref="E1:E2"/>
    <mergeCell ref="F1:J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1">
    <tabColor rgb="FFFF0000"/>
  </sheetPr>
  <dimension ref="A1:U26"/>
  <sheetViews>
    <sheetView zoomScale="80" zoomScaleNormal="80" workbookViewId="0">
      <selection activeCell="A12" sqref="A12:E15"/>
    </sheetView>
  </sheetViews>
  <sheetFormatPr baseColWidth="10" defaultColWidth="11.42578125" defaultRowHeight="15" x14ac:dyDescent="0.25"/>
  <cols>
    <col min="1" max="1" width="37.85546875" style="1" bestFit="1" customWidth="1"/>
    <col min="2" max="2" width="54.85546875" style="1" bestFit="1" customWidth="1"/>
    <col min="3" max="3" width="5.5703125" style="1" bestFit="1" customWidth="1"/>
    <col min="4" max="4" width="6.5703125" style="1" bestFit="1" customWidth="1"/>
    <col min="5" max="5" width="18" style="1" bestFit="1" customWidth="1"/>
    <col min="6" max="13" width="5" style="1" bestFit="1" customWidth="1"/>
    <col min="14" max="15" width="4.85546875" style="1" bestFit="1" customWidth="1"/>
    <col min="16" max="16" width="13.5703125" style="1" bestFit="1" customWidth="1"/>
    <col min="17" max="17" width="13.85546875" style="1" bestFit="1" customWidth="1"/>
    <col min="18" max="18" width="15" style="1" bestFit="1" customWidth="1"/>
    <col min="19" max="19" width="13.85546875" style="1" bestFit="1" customWidth="1"/>
    <col min="20" max="20" width="4.85546875" style="1" bestFit="1" customWidth="1"/>
    <col min="21" max="21" width="85" style="1" bestFit="1" customWidth="1"/>
    <col min="22" max="16384" width="11.42578125" style="1"/>
  </cols>
  <sheetData>
    <row r="1" spans="1:21" ht="55.5" customHeight="1" thickBot="1" x14ac:dyDescent="0.3">
      <c r="A1" s="1035" t="s">
        <v>647</v>
      </c>
      <c r="B1" s="1037"/>
      <c r="C1" s="1047" t="s">
        <v>0</v>
      </c>
      <c r="D1" s="1049" t="s">
        <v>574</v>
      </c>
      <c r="E1" s="1051" t="s">
        <v>575</v>
      </c>
      <c r="F1" s="1038" t="s">
        <v>3</v>
      </c>
      <c r="G1" s="1046"/>
      <c r="H1" s="1046"/>
      <c r="I1" s="1046"/>
      <c r="J1" s="1039"/>
      <c r="K1" s="1038" t="s">
        <v>4</v>
      </c>
      <c r="L1" s="1046"/>
      <c r="M1" s="1046"/>
      <c r="N1" s="1046"/>
      <c r="O1" s="1039"/>
      <c r="P1" s="1038" t="s">
        <v>576</v>
      </c>
      <c r="Q1" s="1039"/>
      <c r="R1" s="1038" t="s">
        <v>589</v>
      </c>
      <c r="S1" s="1039"/>
      <c r="T1" s="1040" t="s">
        <v>5</v>
      </c>
      <c r="U1" s="1042" t="s">
        <v>485</v>
      </c>
    </row>
    <row r="2" spans="1:21" s="3" customFormat="1" ht="99" customHeight="1" thickBot="1" x14ac:dyDescent="0.3">
      <c r="A2" s="14" t="s">
        <v>271</v>
      </c>
      <c r="B2" s="15" t="s">
        <v>272</v>
      </c>
      <c r="C2" s="1048"/>
      <c r="D2" s="1050"/>
      <c r="E2" s="1052"/>
      <c r="F2" s="136" t="s">
        <v>11</v>
      </c>
      <c r="G2" s="16" t="s">
        <v>12</v>
      </c>
      <c r="H2" s="16" t="s">
        <v>13</v>
      </c>
      <c r="I2" s="16" t="s">
        <v>14</v>
      </c>
      <c r="J2" s="137" t="s">
        <v>15</v>
      </c>
      <c r="K2" s="136" t="s">
        <v>11</v>
      </c>
      <c r="L2" s="16" t="s">
        <v>12</v>
      </c>
      <c r="M2" s="16" t="s">
        <v>13</v>
      </c>
      <c r="N2" s="16" t="s">
        <v>14</v>
      </c>
      <c r="O2" s="137" t="s">
        <v>15</v>
      </c>
      <c r="P2" s="136" t="s">
        <v>539</v>
      </c>
      <c r="Q2" s="137" t="s">
        <v>17</v>
      </c>
      <c r="R2" s="136" t="s">
        <v>539</v>
      </c>
      <c r="S2" s="137" t="s">
        <v>17</v>
      </c>
      <c r="T2" s="1041"/>
      <c r="U2" s="1043"/>
    </row>
    <row r="3" spans="1:21" ht="30" x14ac:dyDescent="0.25">
      <c r="A3" s="58" t="s">
        <v>590</v>
      </c>
      <c r="B3" s="59" t="s">
        <v>591</v>
      </c>
      <c r="C3" s="70">
        <v>28</v>
      </c>
      <c r="D3" s="71">
        <v>26.25</v>
      </c>
      <c r="E3" s="99">
        <v>9100000</v>
      </c>
      <c r="F3" s="73">
        <v>9.9999999999999992E-2</v>
      </c>
      <c r="G3" s="74">
        <v>0.25</v>
      </c>
      <c r="H3" s="74">
        <v>0.25</v>
      </c>
      <c r="I3" s="74">
        <v>9.9999999999999992E-2</v>
      </c>
      <c r="J3" s="75">
        <v>0.3</v>
      </c>
      <c r="K3" s="73">
        <v>0.19999999999999998</v>
      </c>
      <c r="L3" s="74">
        <v>0.79999999999999993</v>
      </c>
      <c r="M3" s="74">
        <v>0</v>
      </c>
      <c r="N3" s="74">
        <v>0</v>
      </c>
      <c r="O3" s="75">
        <v>0</v>
      </c>
      <c r="P3" s="102">
        <v>1500000</v>
      </c>
      <c r="Q3" s="103">
        <v>94420</v>
      </c>
      <c r="R3" s="104">
        <v>5500000</v>
      </c>
      <c r="S3" s="103">
        <v>1350000</v>
      </c>
      <c r="T3" s="72"/>
      <c r="U3" s="65" t="s">
        <v>648</v>
      </c>
    </row>
    <row r="4" spans="1:21" ht="45" x14ac:dyDescent="0.25">
      <c r="A4" s="60" t="s">
        <v>590</v>
      </c>
      <c r="B4" s="61" t="s">
        <v>593</v>
      </c>
      <c r="C4" s="79">
        <v>28</v>
      </c>
      <c r="D4" s="80">
        <v>26.25</v>
      </c>
      <c r="E4" s="100">
        <v>7200000</v>
      </c>
      <c r="F4" s="82">
        <v>0.15</v>
      </c>
      <c r="G4" s="83">
        <v>0.19999999999999998</v>
      </c>
      <c r="H4" s="83">
        <v>0.25</v>
      </c>
      <c r="I4" s="83">
        <v>0.35</v>
      </c>
      <c r="J4" s="84">
        <v>4.9999999999999996E-2</v>
      </c>
      <c r="K4" s="82">
        <v>0.19999999999999998</v>
      </c>
      <c r="L4" s="83">
        <v>0.79999999999999993</v>
      </c>
      <c r="M4" s="83">
        <v>0</v>
      </c>
      <c r="N4" s="83">
        <v>0</v>
      </c>
      <c r="O4" s="84">
        <v>0</v>
      </c>
      <c r="P4" s="105">
        <v>700000</v>
      </c>
      <c r="Q4" s="106">
        <v>0</v>
      </c>
      <c r="R4" s="105">
        <v>2000000</v>
      </c>
      <c r="S4" s="106">
        <v>1165000</v>
      </c>
      <c r="T4" s="87"/>
      <c r="U4" s="66" t="s">
        <v>649</v>
      </c>
    </row>
    <row r="5" spans="1:21" ht="75" x14ac:dyDescent="0.25">
      <c r="A5" s="60" t="s">
        <v>590</v>
      </c>
      <c r="B5" s="61" t="s">
        <v>595</v>
      </c>
      <c r="C5" s="79">
        <v>28</v>
      </c>
      <c r="D5" s="80">
        <v>26.25</v>
      </c>
      <c r="E5" s="100">
        <v>72000000</v>
      </c>
      <c r="F5" s="82">
        <v>0.15</v>
      </c>
      <c r="G5" s="83">
        <v>0.19999999999999998</v>
      </c>
      <c r="H5" s="83">
        <v>0.15</v>
      </c>
      <c r="I5" s="83">
        <v>0.25</v>
      </c>
      <c r="J5" s="84">
        <v>0.25</v>
      </c>
      <c r="K5" s="82">
        <v>0.19999999999999998</v>
      </c>
      <c r="L5" s="83">
        <v>0.79999999999999993</v>
      </c>
      <c r="M5" s="83">
        <v>0</v>
      </c>
      <c r="N5" s="83">
        <v>0</v>
      </c>
      <c r="O5" s="84">
        <v>0</v>
      </c>
      <c r="P5" s="105">
        <v>2100000</v>
      </c>
      <c r="Q5" s="107">
        <v>1492139</v>
      </c>
      <c r="R5" s="108">
        <v>46900000</v>
      </c>
      <c r="S5" s="107">
        <v>3300000</v>
      </c>
      <c r="T5" s="81"/>
      <c r="U5" s="66" t="s">
        <v>650</v>
      </c>
    </row>
    <row r="6" spans="1:21" x14ac:dyDescent="0.25">
      <c r="A6" s="60" t="s">
        <v>597</v>
      </c>
      <c r="B6" s="61" t="s">
        <v>635</v>
      </c>
      <c r="C6" s="79">
        <v>40</v>
      </c>
      <c r="D6" s="80">
        <v>65</v>
      </c>
      <c r="E6" s="100">
        <v>874000</v>
      </c>
      <c r="F6" s="82">
        <v>0</v>
      </c>
      <c r="G6" s="83">
        <v>0.28000000000000003</v>
      </c>
      <c r="H6" s="83">
        <v>0.72</v>
      </c>
      <c r="I6" s="83">
        <v>0</v>
      </c>
      <c r="J6" s="84">
        <v>0</v>
      </c>
      <c r="K6" s="82">
        <v>0.15</v>
      </c>
      <c r="L6" s="83">
        <v>0.35</v>
      </c>
      <c r="M6" s="83">
        <v>0.5</v>
      </c>
      <c r="N6" s="83">
        <v>0</v>
      </c>
      <c r="O6" s="84">
        <v>0</v>
      </c>
      <c r="P6" s="105">
        <v>0</v>
      </c>
      <c r="Q6" s="106">
        <v>74000</v>
      </c>
      <c r="R6" s="105">
        <v>180000</v>
      </c>
      <c r="S6" s="106">
        <v>0</v>
      </c>
      <c r="T6" s="87"/>
      <c r="U6" s="67" t="s">
        <v>651</v>
      </c>
    </row>
    <row r="7" spans="1:21" x14ac:dyDescent="0.25">
      <c r="A7" s="60" t="s">
        <v>597</v>
      </c>
      <c r="B7" s="62" t="s">
        <v>637</v>
      </c>
      <c r="C7" s="79">
        <v>50</v>
      </c>
      <c r="D7" s="80">
        <v>56.699999999999996</v>
      </c>
      <c r="E7" s="100">
        <v>1744000</v>
      </c>
      <c r="F7" s="82">
        <v>0.48</v>
      </c>
      <c r="G7" s="83">
        <v>0.37</v>
      </c>
      <c r="H7" s="83">
        <v>7.9999999999999988E-2</v>
      </c>
      <c r="I7" s="83">
        <v>7.0000000000000007E-2</v>
      </c>
      <c r="J7" s="84">
        <v>0</v>
      </c>
      <c r="K7" s="82">
        <v>0.56999999999999984</v>
      </c>
      <c r="L7" s="83">
        <v>0.37</v>
      </c>
      <c r="M7" s="83">
        <v>0.06</v>
      </c>
      <c r="N7" s="83">
        <v>0</v>
      </c>
      <c r="O7" s="84">
        <v>0</v>
      </c>
      <c r="P7" s="105">
        <v>0</v>
      </c>
      <c r="Q7" s="106">
        <v>74000</v>
      </c>
      <c r="R7" s="105">
        <v>440000</v>
      </c>
      <c r="S7" s="106">
        <v>0</v>
      </c>
      <c r="T7" s="87"/>
      <c r="U7" s="67" t="s">
        <v>652</v>
      </c>
    </row>
    <row r="8" spans="1:21" ht="30" x14ac:dyDescent="0.25">
      <c r="A8" s="60" t="s">
        <v>597</v>
      </c>
      <c r="B8" s="62" t="s">
        <v>609</v>
      </c>
      <c r="C8" s="79">
        <v>50</v>
      </c>
      <c r="D8" s="80">
        <v>60</v>
      </c>
      <c r="E8" s="100">
        <v>15800000</v>
      </c>
      <c r="F8" s="82">
        <v>9.9999999999999992E-2</v>
      </c>
      <c r="G8" s="83">
        <v>0.7</v>
      </c>
      <c r="H8" s="83">
        <v>0.15</v>
      </c>
      <c r="I8" s="83">
        <v>4.9999999999999996E-2</v>
      </c>
      <c r="J8" s="84">
        <v>0</v>
      </c>
      <c r="K8" s="82">
        <v>0.06</v>
      </c>
      <c r="L8" s="83">
        <v>0.75</v>
      </c>
      <c r="M8" s="83">
        <v>0.18999999999999997</v>
      </c>
      <c r="N8" s="83">
        <v>0</v>
      </c>
      <c r="O8" s="84">
        <v>0</v>
      </c>
      <c r="P8" s="105">
        <v>1900000</v>
      </c>
      <c r="Q8" s="106">
        <v>44000</v>
      </c>
      <c r="R8" s="105">
        <v>3000000</v>
      </c>
      <c r="S8" s="106">
        <v>0</v>
      </c>
      <c r="T8" s="87"/>
      <c r="U8" s="66" t="s">
        <v>653</v>
      </c>
    </row>
    <row r="9" spans="1:21" x14ac:dyDescent="0.25">
      <c r="A9" s="60" t="s">
        <v>597</v>
      </c>
      <c r="B9" s="62" t="s">
        <v>611</v>
      </c>
      <c r="C9" s="79">
        <v>68</v>
      </c>
      <c r="D9" s="80">
        <v>56.3</v>
      </c>
      <c r="E9" s="100">
        <v>66500000</v>
      </c>
      <c r="F9" s="82">
        <v>0</v>
      </c>
      <c r="G9" s="83">
        <v>0.75</v>
      </c>
      <c r="H9" s="83">
        <v>0.18</v>
      </c>
      <c r="I9" s="83">
        <v>7.0000000000000007E-2</v>
      </c>
      <c r="J9" s="84">
        <v>0</v>
      </c>
      <c r="K9" s="82">
        <v>7.0000000000000007E-2</v>
      </c>
      <c r="L9" s="83">
        <v>0.83</v>
      </c>
      <c r="M9" s="83">
        <v>9.9999999999999992E-2</v>
      </c>
      <c r="N9" s="83">
        <v>0</v>
      </c>
      <c r="O9" s="84">
        <v>0</v>
      </c>
      <c r="P9" s="105">
        <v>0</v>
      </c>
      <c r="Q9" s="106">
        <v>84000</v>
      </c>
      <c r="R9" s="105">
        <v>13450000</v>
      </c>
      <c r="S9" s="106">
        <v>0</v>
      </c>
      <c r="T9" s="87"/>
      <c r="U9" s="67" t="s">
        <v>654</v>
      </c>
    </row>
    <row r="10" spans="1:21" x14ac:dyDescent="0.25">
      <c r="A10" s="60" t="s">
        <v>614</v>
      </c>
      <c r="B10" s="61" t="s">
        <v>615</v>
      </c>
      <c r="C10" s="79">
        <v>25</v>
      </c>
      <c r="D10" s="80">
        <v>30</v>
      </c>
      <c r="E10" s="100">
        <v>47700000</v>
      </c>
      <c r="F10" s="82">
        <v>0.25</v>
      </c>
      <c r="G10" s="83">
        <v>0.39999999999999997</v>
      </c>
      <c r="H10" s="83">
        <v>0.3</v>
      </c>
      <c r="I10" s="83">
        <v>4.9999999999999996E-2</v>
      </c>
      <c r="J10" s="84">
        <v>0</v>
      </c>
      <c r="K10" s="82">
        <v>0.32999999999999996</v>
      </c>
      <c r="L10" s="83">
        <v>0.54999999999999993</v>
      </c>
      <c r="M10" s="83">
        <v>0.12</v>
      </c>
      <c r="N10" s="83">
        <v>0</v>
      </c>
      <c r="O10" s="84">
        <v>0</v>
      </c>
      <c r="P10" s="105">
        <v>2000000</v>
      </c>
      <c r="Q10" s="106">
        <v>728600</v>
      </c>
      <c r="R10" s="105">
        <v>10000000</v>
      </c>
      <c r="S10" s="106">
        <v>2350000</v>
      </c>
      <c r="T10" s="87"/>
      <c r="U10" s="67" t="s">
        <v>655</v>
      </c>
    </row>
    <row r="11" spans="1:21" x14ac:dyDescent="0.25">
      <c r="A11" s="60" t="s">
        <v>614</v>
      </c>
      <c r="B11" s="61" t="s">
        <v>53</v>
      </c>
      <c r="C11" s="79">
        <v>26.7</v>
      </c>
      <c r="D11" s="80">
        <v>30</v>
      </c>
      <c r="E11" s="100">
        <v>3450000</v>
      </c>
      <c r="F11" s="82">
        <v>0.19999999999999998</v>
      </c>
      <c r="G11" s="83">
        <v>0.19999999999999998</v>
      </c>
      <c r="H11" s="83">
        <v>0.16999999999999998</v>
      </c>
      <c r="I11" s="83">
        <v>0.37</v>
      </c>
      <c r="J11" s="84">
        <v>0.06</v>
      </c>
      <c r="K11" s="82">
        <v>0.62999999999999989</v>
      </c>
      <c r="L11" s="83">
        <v>0.3</v>
      </c>
      <c r="M11" s="83">
        <v>7.0000000000000007E-2</v>
      </c>
      <c r="N11" s="83">
        <v>0</v>
      </c>
      <c r="O11" s="84">
        <v>0</v>
      </c>
      <c r="P11" s="105">
        <v>32000</v>
      </c>
      <c r="Q11" s="106">
        <v>65600</v>
      </c>
      <c r="R11" s="105">
        <v>6000000</v>
      </c>
      <c r="S11" s="106">
        <v>300000</v>
      </c>
      <c r="T11" s="87"/>
      <c r="U11" s="66" t="s">
        <v>656</v>
      </c>
    </row>
    <row r="12" spans="1:21" ht="45" x14ac:dyDescent="0.25">
      <c r="A12" s="60" t="s">
        <v>59</v>
      </c>
      <c r="B12" s="61" t="s">
        <v>618</v>
      </c>
      <c r="C12" s="79">
        <v>28.299999999999997</v>
      </c>
      <c r="D12" s="80">
        <v>36.700000000000003</v>
      </c>
      <c r="E12" s="100">
        <v>1550000</v>
      </c>
      <c r="F12" s="82">
        <v>0.32999999999999996</v>
      </c>
      <c r="G12" s="83">
        <v>0.42</v>
      </c>
      <c r="H12" s="83">
        <v>0.25</v>
      </c>
      <c r="I12" s="83">
        <v>0</v>
      </c>
      <c r="J12" s="84">
        <v>0</v>
      </c>
      <c r="K12" s="82">
        <v>0.66999999999999993</v>
      </c>
      <c r="L12" s="83">
        <v>0.32999999999999996</v>
      </c>
      <c r="M12" s="83">
        <v>0</v>
      </c>
      <c r="N12" s="83">
        <v>0</v>
      </c>
      <c r="O12" s="84">
        <v>0</v>
      </c>
      <c r="P12" s="105">
        <v>20000</v>
      </c>
      <c r="Q12" s="106">
        <v>30862</v>
      </c>
      <c r="R12" s="105">
        <v>3200000</v>
      </c>
      <c r="S12" s="106">
        <v>32000</v>
      </c>
      <c r="T12" s="87"/>
      <c r="U12" s="66" t="s">
        <v>619</v>
      </c>
    </row>
    <row r="13" spans="1:21" x14ac:dyDescent="0.25">
      <c r="A13" s="60" t="s">
        <v>59</v>
      </c>
      <c r="B13" s="61" t="s">
        <v>620</v>
      </c>
      <c r="C13" s="79">
        <v>47.5</v>
      </c>
      <c r="D13" s="80">
        <v>45</v>
      </c>
      <c r="E13" s="100">
        <v>2625000</v>
      </c>
      <c r="F13" s="82">
        <v>9.9999999999999992E-2</v>
      </c>
      <c r="G13" s="83">
        <v>0</v>
      </c>
      <c r="H13" s="83">
        <v>0.89999999999999991</v>
      </c>
      <c r="I13" s="83">
        <v>0</v>
      </c>
      <c r="J13" s="84">
        <v>0</v>
      </c>
      <c r="K13" s="82">
        <v>0.25</v>
      </c>
      <c r="L13" s="83">
        <v>0.41</v>
      </c>
      <c r="M13" s="83">
        <v>0.33999999999999997</v>
      </c>
      <c r="N13" s="83">
        <v>0</v>
      </c>
      <c r="O13" s="84">
        <v>0</v>
      </c>
      <c r="P13" s="105">
        <v>200000</v>
      </c>
      <c r="Q13" s="106">
        <v>214817</v>
      </c>
      <c r="R13" s="105">
        <v>1000000</v>
      </c>
      <c r="S13" s="106">
        <v>32000</v>
      </c>
      <c r="T13" s="87"/>
      <c r="U13" s="67" t="s">
        <v>657</v>
      </c>
    </row>
    <row r="14" spans="1:21" ht="30" x14ac:dyDescent="0.25">
      <c r="A14" s="60" t="s">
        <v>59</v>
      </c>
      <c r="B14" s="61" t="s">
        <v>622</v>
      </c>
      <c r="C14" s="79">
        <v>25</v>
      </c>
      <c r="D14" s="80">
        <v>20</v>
      </c>
      <c r="E14" s="100">
        <v>9500000</v>
      </c>
      <c r="F14" s="82">
        <v>0.3</v>
      </c>
      <c r="G14" s="83">
        <v>9.9999999999999992E-2</v>
      </c>
      <c r="H14" s="83">
        <v>0.5</v>
      </c>
      <c r="I14" s="83">
        <v>0</v>
      </c>
      <c r="J14" s="84">
        <v>9.9999999999999992E-2</v>
      </c>
      <c r="K14" s="82">
        <v>0.5</v>
      </c>
      <c r="L14" s="83">
        <v>0.5</v>
      </c>
      <c r="M14" s="83">
        <v>0</v>
      </c>
      <c r="N14" s="83">
        <v>0</v>
      </c>
      <c r="O14" s="84">
        <v>0</v>
      </c>
      <c r="P14" s="105">
        <v>1800000</v>
      </c>
      <c r="Q14" s="106">
        <v>523480</v>
      </c>
      <c r="R14" s="105">
        <v>3300000</v>
      </c>
      <c r="S14" s="106">
        <v>0</v>
      </c>
      <c r="T14" s="87"/>
      <c r="U14" s="68" t="s">
        <v>658</v>
      </c>
    </row>
    <row r="15" spans="1:21" ht="60" x14ac:dyDescent="0.25">
      <c r="A15" s="60" t="s">
        <v>59</v>
      </c>
      <c r="B15" s="61" t="s">
        <v>624</v>
      </c>
      <c r="C15" s="79">
        <v>25</v>
      </c>
      <c r="D15" s="80">
        <v>40</v>
      </c>
      <c r="E15" s="100">
        <v>12000000</v>
      </c>
      <c r="F15" s="82">
        <v>0.25</v>
      </c>
      <c r="G15" s="83">
        <v>0</v>
      </c>
      <c r="H15" s="83">
        <v>0.75</v>
      </c>
      <c r="I15" s="83">
        <v>0</v>
      </c>
      <c r="J15" s="84">
        <v>0</v>
      </c>
      <c r="K15" s="82">
        <v>0.44999999999999996</v>
      </c>
      <c r="L15" s="83">
        <v>0.44999999999999996</v>
      </c>
      <c r="M15" s="83">
        <v>9.9999999999999992E-2</v>
      </c>
      <c r="N15" s="83">
        <v>0</v>
      </c>
      <c r="O15" s="84">
        <v>0</v>
      </c>
      <c r="P15" s="105">
        <v>1500000</v>
      </c>
      <c r="Q15" s="106">
        <v>662649</v>
      </c>
      <c r="R15" s="105">
        <v>5000000</v>
      </c>
      <c r="S15" s="106">
        <v>3800000</v>
      </c>
      <c r="T15" s="87"/>
      <c r="U15" s="66" t="s">
        <v>659</v>
      </c>
    </row>
    <row r="16" spans="1:21" ht="60" x14ac:dyDescent="0.25">
      <c r="A16" s="60" t="s">
        <v>72</v>
      </c>
      <c r="B16" s="287" t="s">
        <v>626</v>
      </c>
      <c r="C16" s="79">
        <v>50</v>
      </c>
      <c r="D16" s="80">
        <v>80</v>
      </c>
      <c r="E16" s="100">
        <v>50000000</v>
      </c>
      <c r="F16" s="82">
        <v>0.19999999999999998</v>
      </c>
      <c r="G16" s="83">
        <v>0.3</v>
      </c>
      <c r="H16" s="83">
        <v>0.19999999999999998</v>
      </c>
      <c r="I16" s="83">
        <v>0.3</v>
      </c>
      <c r="J16" s="84">
        <v>0</v>
      </c>
      <c r="K16" s="82">
        <v>0.5</v>
      </c>
      <c r="L16" s="83">
        <v>0.3</v>
      </c>
      <c r="M16" s="83">
        <v>0.19999999999999998</v>
      </c>
      <c r="N16" s="83">
        <v>0</v>
      </c>
      <c r="O16" s="84">
        <v>0</v>
      </c>
      <c r="P16" s="105">
        <v>5000000</v>
      </c>
      <c r="Q16" s="106">
        <v>166400</v>
      </c>
      <c r="R16" s="105">
        <v>30000000</v>
      </c>
      <c r="S16" s="106">
        <v>200000</v>
      </c>
      <c r="T16" s="87"/>
      <c r="U16" s="66" t="s">
        <v>660</v>
      </c>
    </row>
    <row r="17" spans="1:21" ht="15.75" thickBot="1" x14ac:dyDescent="0.3">
      <c r="A17" s="63" t="s">
        <v>628</v>
      </c>
      <c r="B17" s="64" t="s">
        <v>629</v>
      </c>
      <c r="C17" s="90"/>
      <c r="D17" s="91"/>
      <c r="E17" s="101"/>
      <c r="F17" s="93"/>
      <c r="G17" s="94"/>
      <c r="H17" s="94"/>
      <c r="I17" s="94"/>
      <c r="J17" s="95"/>
      <c r="K17" s="93"/>
      <c r="L17" s="94"/>
      <c r="M17" s="94"/>
      <c r="N17" s="94"/>
      <c r="O17" s="95"/>
      <c r="P17" s="109"/>
      <c r="Q17" s="110"/>
      <c r="R17" s="109"/>
      <c r="S17" s="110"/>
      <c r="T17" s="98"/>
      <c r="U17" s="69" t="s">
        <v>630</v>
      </c>
    </row>
    <row r="18" spans="1:21" ht="16.5" thickBot="1" x14ac:dyDescent="0.3">
      <c r="A18" s="2"/>
      <c r="B18" s="2"/>
      <c r="E18" s="56">
        <f>SUM(E3:E17)</f>
        <v>300043000</v>
      </c>
      <c r="P18" s="1054">
        <f>SUM(P3:Q17)</f>
        <v>21006967</v>
      </c>
      <c r="Q18" s="1056"/>
      <c r="R18" s="1054">
        <f>SUM(R3:S17)</f>
        <v>142499000</v>
      </c>
      <c r="S18" s="1056"/>
    </row>
    <row r="19" spans="1:21" x14ac:dyDescent="0.25">
      <c r="A19" s="2"/>
      <c r="B19" s="2"/>
    </row>
    <row r="20" spans="1:21" x14ac:dyDescent="0.25">
      <c r="A20" s="2"/>
      <c r="B20" s="2"/>
    </row>
    <row r="21" spans="1:21" x14ac:dyDescent="0.25">
      <c r="A21" s="2"/>
      <c r="B21" s="2"/>
    </row>
    <row r="22" spans="1:21" x14ac:dyDescent="0.25">
      <c r="A22" s="2"/>
      <c r="B22" s="2"/>
    </row>
    <row r="23" spans="1:21" x14ac:dyDescent="0.25">
      <c r="A23" s="2"/>
      <c r="B23" s="2"/>
    </row>
    <row r="24" spans="1:21" x14ac:dyDescent="0.25">
      <c r="A24" s="2"/>
      <c r="B24" s="2"/>
    </row>
    <row r="25" spans="1:21" x14ac:dyDescent="0.25">
      <c r="A25" s="2"/>
      <c r="B25" s="2"/>
    </row>
    <row r="26" spans="1:21" x14ac:dyDescent="0.25">
      <c r="A26" s="2"/>
      <c r="B26" s="2"/>
    </row>
  </sheetData>
  <mergeCells count="12">
    <mergeCell ref="P1:Q1"/>
    <mergeCell ref="R1:S1"/>
    <mergeCell ref="T1:T2"/>
    <mergeCell ref="U1:U2"/>
    <mergeCell ref="P18:Q18"/>
    <mergeCell ref="R18:S18"/>
    <mergeCell ref="K1:O1"/>
    <mergeCell ref="A1:B1"/>
    <mergeCell ref="C1:C2"/>
    <mergeCell ref="D1:D2"/>
    <mergeCell ref="E1:E2"/>
    <mergeCell ref="F1:J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12">
    <tabColor rgb="FFFF0000"/>
  </sheetPr>
  <dimension ref="A1:U26"/>
  <sheetViews>
    <sheetView zoomScale="80" zoomScaleNormal="80" workbookViewId="0">
      <selection activeCell="A12" sqref="A12:E15"/>
    </sheetView>
  </sheetViews>
  <sheetFormatPr baseColWidth="10" defaultColWidth="11.42578125" defaultRowHeight="15" x14ac:dyDescent="0.25"/>
  <cols>
    <col min="1" max="1" width="37.85546875" style="1" bestFit="1" customWidth="1"/>
    <col min="2" max="2" width="54.85546875" style="1" bestFit="1" customWidth="1"/>
    <col min="3" max="4" width="6.5703125" style="1" bestFit="1" customWidth="1"/>
    <col min="5" max="5" width="18" style="1" bestFit="1" customWidth="1"/>
    <col min="6" max="13" width="5" style="1" bestFit="1" customWidth="1"/>
    <col min="14" max="15" width="4.85546875" style="1" bestFit="1" customWidth="1"/>
    <col min="16" max="16" width="13.140625" style="1" bestFit="1" customWidth="1"/>
    <col min="17" max="17" width="15" style="1" bestFit="1" customWidth="1"/>
    <col min="18" max="18" width="16" style="1" bestFit="1" customWidth="1"/>
    <col min="19" max="19" width="15" style="1" bestFit="1" customWidth="1"/>
    <col min="20" max="20" width="4.85546875" style="1" bestFit="1" customWidth="1"/>
    <col min="21" max="21" width="78.85546875" style="1" bestFit="1" customWidth="1"/>
    <col min="22" max="16384" width="11.42578125" style="1"/>
  </cols>
  <sheetData>
    <row r="1" spans="1:21" ht="62.25" thickBot="1" x14ac:dyDescent="0.3">
      <c r="A1" s="1035" t="s">
        <v>661</v>
      </c>
      <c r="B1" s="1037"/>
      <c r="C1" s="1047" t="s">
        <v>0</v>
      </c>
      <c r="D1" s="1049" t="s">
        <v>574</v>
      </c>
      <c r="E1" s="1051" t="s">
        <v>575</v>
      </c>
      <c r="F1" s="1038" t="s">
        <v>3</v>
      </c>
      <c r="G1" s="1046"/>
      <c r="H1" s="1046"/>
      <c r="I1" s="1046"/>
      <c r="J1" s="1039"/>
      <c r="K1" s="1038" t="s">
        <v>4</v>
      </c>
      <c r="L1" s="1046"/>
      <c r="M1" s="1046"/>
      <c r="N1" s="1046"/>
      <c r="O1" s="1039"/>
      <c r="P1" s="1038" t="s">
        <v>576</v>
      </c>
      <c r="Q1" s="1039"/>
      <c r="R1" s="1038" t="s">
        <v>589</v>
      </c>
      <c r="S1" s="1039"/>
      <c r="T1" s="1040" t="s">
        <v>5</v>
      </c>
      <c r="U1" s="1042" t="s">
        <v>485</v>
      </c>
    </row>
    <row r="2" spans="1:21" s="3" customFormat="1" ht="90.75" thickBot="1" x14ac:dyDescent="0.3">
      <c r="A2" s="14" t="s">
        <v>271</v>
      </c>
      <c r="B2" s="15" t="s">
        <v>272</v>
      </c>
      <c r="C2" s="1048"/>
      <c r="D2" s="1050"/>
      <c r="E2" s="1052"/>
      <c r="F2" s="136" t="s">
        <v>11</v>
      </c>
      <c r="G2" s="16" t="s">
        <v>12</v>
      </c>
      <c r="H2" s="16" t="s">
        <v>13</v>
      </c>
      <c r="I2" s="16" t="s">
        <v>14</v>
      </c>
      <c r="J2" s="137" t="s">
        <v>15</v>
      </c>
      <c r="K2" s="136" t="s">
        <v>11</v>
      </c>
      <c r="L2" s="16" t="s">
        <v>12</v>
      </c>
      <c r="M2" s="16" t="s">
        <v>13</v>
      </c>
      <c r="N2" s="16" t="s">
        <v>14</v>
      </c>
      <c r="O2" s="137" t="s">
        <v>15</v>
      </c>
      <c r="P2" s="136" t="s">
        <v>539</v>
      </c>
      <c r="Q2" s="137" t="s">
        <v>17</v>
      </c>
      <c r="R2" s="136" t="s">
        <v>539</v>
      </c>
      <c r="S2" s="137" t="s">
        <v>17</v>
      </c>
      <c r="T2" s="1041"/>
      <c r="U2" s="1043"/>
    </row>
    <row r="3" spans="1:21" x14ac:dyDescent="0.25">
      <c r="A3" s="58" t="s">
        <v>590</v>
      </c>
      <c r="B3" s="59" t="s">
        <v>591</v>
      </c>
      <c r="C3" s="130">
        <v>31.25</v>
      </c>
      <c r="D3" s="71">
        <v>26.25</v>
      </c>
      <c r="E3" s="116">
        <v>9100000</v>
      </c>
      <c r="F3" s="73">
        <v>0</v>
      </c>
      <c r="G3" s="74">
        <v>0.25</v>
      </c>
      <c r="H3" s="74">
        <v>0.25</v>
      </c>
      <c r="I3" s="74">
        <v>0.12999999999999998</v>
      </c>
      <c r="J3" s="75">
        <v>0.37999999999999995</v>
      </c>
      <c r="K3" s="73">
        <v>0.19999999999999998</v>
      </c>
      <c r="L3" s="74">
        <v>0.79999999999999993</v>
      </c>
      <c r="M3" s="74">
        <v>0</v>
      </c>
      <c r="N3" s="74">
        <v>0</v>
      </c>
      <c r="O3" s="113">
        <v>0</v>
      </c>
      <c r="P3" s="119">
        <v>0</v>
      </c>
      <c r="Q3" s="120">
        <v>118542</v>
      </c>
      <c r="R3" s="121">
        <v>7000000</v>
      </c>
      <c r="S3" s="120">
        <v>1350000</v>
      </c>
      <c r="T3" s="72"/>
      <c r="U3" s="112"/>
    </row>
    <row r="4" spans="1:21" x14ac:dyDescent="0.25">
      <c r="A4" s="60" t="s">
        <v>590</v>
      </c>
      <c r="B4" s="61" t="s">
        <v>593</v>
      </c>
      <c r="C4" s="131">
        <v>31.25</v>
      </c>
      <c r="D4" s="80">
        <v>26.25</v>
      </c>
      <c r="E4" s="117">
        <v>7200000</v>
      </c>
      <c r="F4" s="82">
        <v>7.9999999999999988E-2</v>
      </c>
      <c r="G4" s="83">
        <v>0.22999999999999998</v>
      </c>
      <c r="H4" s="83">
        <v>0.25</v>
      </c>
      <c r="I4" s="83">
        <v>0.37999999999999995</v>
      </c>
      <c r="J4" s="84">
        <v>7.9999999999999988E-2</v>
      </c>
      <c r="K4" s="82">
        <v>0.19999999999999998</v>
      </c>
      <c r="L4" s="83">
        <v>0.79999999999999993</v>
      </c>
      <c r="M4" s="83">
        <v>0</v>
      </c>
      <c r="N4" s="83">
        <v>0</v>
      </c>
      <c r="O4" s="114">
        <v>0</v>
      </c>
      <c r="P4" s="122">
        <v>0</v>
      </c>
      <c r="Q4" s="123">
        <v>0</v>
      </c>
      <c r="R4" s="124">
        <v>2700000</v>
      </c>
      <c r="S4" s="123">
        <v>1165000</v>
      </c>
      <c r="T4" s="87"/>
      <c r="U4" s="67" t="s">
        <v>630</v>
      </c>
    </row>
    <row r="5" spans="1:21" ht="60" x14ac:dyDescent="0.25">
      <c r="A5" s="60" t="s">
        <v>590</v>
      </c>
      <c r="B5" s="61" t="s">
        <v>595</v>
      </c>
      <c r="C5" s="131">
        <v>31.25</v>
      </c>
      <c r="D5" s="80">
        <v>26.25</v>
      </c>
      <c r="E5" s="117">
        <v>72000000</v>
      </c>
      <c r="F5" s="82">
        <v>9.9999999999999985E-3</v>
      </c>
      <c r="G5" s="83">
        <v>0.28999999999999992</v>
      </c>
      <c r="H5" s="83">
        <v>0.18</v>
      </c>
      <c r="I5" s="83">
        <v>0.25999999999999995</v>
      </c>
      <c r="J5" s="84">
        <v>0.25999999999999995</v>
      </c>
      <c r="K5" s="82">
        <v>0.19999999999999998</v>
      </c>
      <c r="L5" s="83">
        <v>0.79999999999999993</v>
      </c>
      <c r="M5" s="83">
        <v>0</v>
      </c>
      <c r="N5" s="83">
        <v>0</v>
      </c>
      <c r="O5" s="114">
        <v>0</v>
      </c>
      <c r="P5" s="122">
        <v>236157</v>
      </c>
      <c r="Q5" s="125">
        <v>1432389</v>
      </c>
      <c r="R5" s="126">
        <v>49000000</v>
      </c>
      <c r="S5" s="125">
        <v>3300000</v>
      </c>
      <c r="T5" s="81"/>
      <c r="U5" s="66" t="s">
        <v>662</v>
      </c>
    </row>
    <row r="6" spans="1:21" x14ac:dyDescent="0.25">
      <c r="A6" s="60" t="s">
        <v>597</v>
      </c>
      <c r="B6" s="61" t="s">
        <v>635</v>
      </c>
      <c r="C6" s="131">
        <v>40</v>
      </c>
      <c r="D6" s="80">
        <v>65</v>
      </c>
      <c r="E6" s="117">
        <v>874000</v>
      </c>
      <c r="F6" s="82">
        <v>0</v>
      </c>
      <c r="G6" s="83">
        <v>0.28000000000000003</v>
      </c>
      <c r="H6" s="83">
        <v>0.72</v>
      </c>
      <c r="I6" s="83">
        <v>0</v>
      </c>
      <c r="J6" s="84">
        <v>0</v>
      </c>
      <c r="K6" s="82">
        <v>0.15</v>
      </c>
      <c r="L6" s="83">
        <v>0.35</v>
      </c>
      <c r="M6" s="83">
        <v>0.5</v>
      </c>
      <c r="N6" s="83">
        <v>0</v>
      </c>
      <c r="O6" s="114">
        <v>0</v>
      </c>
      <c r="P6" s="122">
        <v>0</v>
      </c>
      <c r="Q6" s="123">
        <v>0</v>
      </c>
      <c r="R6" s="124">
        <v>180000</v>
      </c>
      <c r="S6" s="123">
        <v>0</v>
      </c>
      <c r="T6" s="87"/>
      <c r="U6" s="67" t="s">
        <v>651</v>
      </c>
    </row>
    <row r="7" spans="1:21" x14ac:dyDescent="0.25">
      <c r="A7" s="60" t="s">
        <v>597</v>
      </c>
      <c r="B7" s="62" t="s">
        <v>637</v>
      </c>
      <c r="C7" s="131">
        <v>50</v>
      </c>
      <c r="D7" s="80">
        <v>56.699999999999996</v>
      </c>
      <c r="E7" s="117">
        <v>1744000</v>
      </c>
      <c r="F7" s="82">
        <v>0.48</v>
      </c>
      <c r="G7" s="83">
        <v>0.37</v>
      </c>
      <c r="H7" s="83">
        <v>7.9999999999999988E-2</v>
      </c>
      <c r="I7" s="83">
        <v>7.0000000000000007E-2</v>
      </c>
      <c r="J7" s="84">
        <v>0</v>
      </c>
      <c r="K7" s="82">
        <v>0.56999999999999984</v>
      </c>
      <c r="L7" s="83">
        <v>0.37</v>
      </c>
      <c r="M7" s="83">
        <v>0.06</v>
      </c>
      <c r="N7" s="83">
        <v>0</v>
      </c>
      <c r="O7" s="114">
        <v>0</v>
      </c>
      <c r="P7" s="122">
        <v>0</v>
      </c>
      <c r="Q7" s="123">
        <v>0</v>
      </c>
      <c r="R7" s="124">
        <v>440000</v>
      </c>
      <c r="S7" s="123">
        <v>0</v>
      </c>
      <c r="T7" s="87"/>
      <c r="U7" s="67" t="s">
        <v>652</v>
      </c>
    </row>
    <row r="8" spans="1:21" x14ac:dyDescent="0.25">
      <c r="A8" s="60" t="s">
        <v>597</v>
      </c>
      <c r="B8" s="62" t="s">
        <v>609</v>
      </c>
      <c r="C8" s="131">
        <v>58.25</v>
      </c>
      <c r="D8" s="80">
        <v>60</v>
      </c>
      <c r="E8" s="117">
        <v>15800000</v>
      </c>
      <c r="F8" s="82">
        <v>3.9999999999999994E-2</v>
      </c>
      <c r="G8" s="83">
        <v>0.74</v>
      </c>
      <c r="H8" s="83">
        <v>0.18</v>
      </c>
      <c r="I8" s="83">
        <v>3.9999999999999994E-2</v>
      </c>
      <c r="J8" s="84">
        <v>0</v>
      </c>
      <c r="K8" s="82">
        <v>0.06</v>
      </c>
      <c r="L8" s="83">
        <v>0.75</v>
      </c>
      <c r="M8" s="83">
        <v>0.18999999999999997</v>
      </c>
      <c r="N8" s="83">
        <v>0</v>
      </c>
      <c r="O8" s="114">
        <v>0</v>
      </c>
      <c r="P8" s="122">
        <v>0</v>
      </c>
      <c r="Q8" s="123">
        <v>115058</v>
      </c>
      <c r="R8" s="124">
        <v>2900000</v>
      </c>
      <c r="S8" s="123">
        <v>0</v>
      </c>
      <c r="T8" s="87"/>
      <c r="U8" s="67" t="s">
        <v>663</v>
      </c>
    </row>
    <row r="9" spans="1:21" x14ac:dyDescent="0.25">
      <c r="A9" s="60" t="s">
        <v>597</v>
      </c>
      <c r="B9" s="62" t="s">
        <v>611</v>
      </c>
      <c r="C9" s="131">
        <v>68</v>
      </c>
      <c r="D9" s="80">
        <v>56.3</v>
      </c>
      <c r="E9" s="117">
        <v>66500000</v>
      </c>
      <c r="F9" s="82">
        <v>0</v>
      </c>
      <c r="G9" s="83">
        <v>0.75</v>
      </c>
      <c r="H9" s="83">
        <v>0.18</v>
      </c>
      <c r="I9" s="83">
        <v>7.0000000000000007E-2</v>
      </c>
      <c r="J9" s="84">
        <v>0</v>
      </c>
      <c r="K9" s="82">
        <v>7.0000000000000007E-2</v>
      </c>
      <c r="L9" s="83">
        <v>0.83</v>
      </c>
      <c r="M9" s="83">
        <v>9.9999999999999992E-2</v>
      </c>
      <c r="N9" s="83">
        <v>0</v>
      </c>
      <c r="O9" s="114">
        <v>0</v>
      </c>
      <c r="P9" s="122">
        <v>0</v>
      </c>
      <c r="Q9" s="123">
        <v>0</v>
      </c>
      <c r="R9" s="124">
        <v>13450000</v>
      </c>
      <c r="S9" s="123">
        <v>0</v>
      </c>
      <c r="T9" s="87"/>
      <c r="U9" s="67" t="s">
        <v>654</v>
      </c>
    </row>
    <row r="10" spans="1:21" x14ac:dyDescent="0.25">
      <c r="A10" s="60" t="s">
        <v>614</v>
      </c>
      <c r="B10" s="61" t="s">
        <v>615</v>
      </c>
      <c r="C10" s="131">
        <v>27.5</v>
      </c>
      <c r="D10" s="80">
        <v>30</v>
      </c>
      <c r="E10" s="117">
        <v>47700000</v>
      </c>
      <c r="F10" s="82">
        <v>0.18</v>
      </c>
      <c r="G10" s="83">
        <v>0.39999999999999997</v>
      </c>
      <c r="H10" s="83">
        <v>0.3</v>
      </c>
      <c r="I10" s="83">
        <v>7.0000000000000007E-2</v>
      </c>
      <c r="J10" s="84">
        <v>4.9999999999999996E-2</v>
      </c>
      <c r="K10" s="82">
        <v>0.32999999999999996</v>
      </c>
      <c r="L10" s="83">
        <v>0.54999999999999993</v>
      </c>
      <c r="M10" s="83">
        <v>0.12</v>
      </c>
      <c r="N10" s="83">
        <v>0</v>
      </c>
      <c r="O10" s="114">
        <v>0</v>
      </c>
      <c r="P10" s="122">
        <v>8635</v>
      </c>
      <c r="Q10" s="123">
        <v>865379</v>
      </c>
      <c r="R10" s="124">
        <v>12000000</v>
      </c>
      <c r="S10" s="123">
        <v>2350000</v>
      </c>
      <c r="T10" s="87"/>
      <c r="U10" s="67" t="s">
        <v>664</v>
      </c>
    </row>
    <row r="11" spans="1:21" x14ac:dyDescent="0.25">
      <c r="A11" s="60" t="s">
        <v>614</v>
      </c>
      <c r="B11" s="61" t="s">
        <v>53</v>
      </c>
      <c r="C11" s="131">
        <v>26.7</v>
      </c>
      <c r="D11" s="80">
        <v>30</v>
      </c>
      <c r="E11" s="117">
        <v>3450000</v>
      </c>
      <c r="F11" s="82">
        <v>0.19999999999999998</v>
      </c>
      <c r="G11" s="83">
        <v>0.19999999999999998</v>
      </c>
      <c r="H11" s="83">
        <v>0.16999999999999998</v>
      </c>
      <c r="I11" s="83">
        <v>0.37</v>
      </c>
      <c r="J11" s="84">
        <v>0.06</v>
      </c>
      <c r="K11" s="82">
        <v>0.62999999999999989</v>
      </c>
      <c r="L11" s="83">
        <v>0.3</v>
      </c>
      <c r="M11" s="83">
        <v>7.0000000000000007E-2</v>
      </c>
      <c r="N11" s="83">
        <v>0</v>
      </c>
      <c r="O11" s="114">
        <v>0</v>
      </c>
      <c r="P11" s="122">
        <v>53800</v>
      </c>
      <c r="Q11" s="123">
        <v>61</v>
      </c>
      <c r="R11" s="124">
        <v>1950000</v>
      </c>
      <c r="S11" s="123">
        <v>300000</v>
      </c>
      <c r="T11" s="87"/>
      <c r="U11" s="66" t="s">
        <v>656</v>
      </c>
    </row>
    <row r="12" spans="1:21" x14ac:dyDescent="0.25">
      <c r="A12" s="60" t="s">
        <v>59</v>
      </c>
      <c r="B12" s="61" t="s">
        <v>618</v>
      </c>
      <c r="C12" s="131">
        <v>28.299999999999997</v>
      </c>
      <c r="D12" s="80">
        <v>36.700000000000003</v>
      </c>
      <c r="E12" s="117">
        <v>1550000</v>
      </c>
      <c r="F12" s="82">
        <v>0.32999999999999996</v>
      </c>
      <c r="G12" s="83">
        <v>0.42</v>
      </c>
      <c r="H12" s="83">
        <v>0.25</v>
      </c>
      <c r="I12" s="83">
        <v>0</v>
      </c>
      <c r="J12" s="84">
        <v>0</v>
      </c>
      <c r="K12" s="82">
        <v>0.66999999999999993</v>
      </c>
      <c r="L12" s="83">
        <v>0.32999999999999996</v>
      </c>
      <c r="M12" s="83">
        <v>0</v>
      </c>
      <c r="N12" s="83">
        <v>0</v>
      </c>
      <c r="O12" s="114">
        <v>0</v>
      </c>
      <c r="P12" s="122">
        <v>62400</v>
      </c>
      <c r="Q12" s="123">
        <v>7779</v>
      </c>
      <c r="R12" s="124">
        <v>650000</v>
      </c>
      <c r="S12" s="123">
        <v>32000</v>
      </c>
      <c r="T12" s="87"/>
      <c r="U12" s="67" t="s">
        <v>665</v>
      </c>
    </row>
    <row r="13" spans="1:21" x14ac:dyDescent="0.25">
      <c r="A13" s="60" t="s">
        <v>59</v>
      </c>
      <c r="B13" s="61" t="s">
        <v>620</v>
      </c>
      <c r="C13" s="131">
        <v>47.5</v>
      </c>
      <c r="D13" s="80">
        <v>45</v>
      </c>
      <c r="E13" s="117">
        <v>2625000</v>
      </c>
      <c r="F13" s="82">
        <v>0</v>
      </c>
      <c r="G13" s="83">
        <v>0</v>
      </c>
      <c r="H13" s="83">
        <v>0.87999999999999989</v>
      </c>
      <c r="I13" s="83">
        <v>0.12</v>
      </c>
      <c r="J13" s="84">
        <v>0</v>
      </c>
      <c r="K13" s="82">
        <v>0.25</v>
      </c>
      <c r="L13" s="83">
        <v>0.41</v>
      </c>
      <c r="M13" s="83">
        <v>0.33999999999999997</v>
      </c>
      <c r="N13" s="83">
        <v>0</v>
      </c>
      <c r="O13" s="114">
        <v>0</v>
      </c>
      <c r="P13" s="122">
        <v>0</v>
      </c>
      <c r="Q13" s="123">
        <v>0</v>
      </c>
      <c r="R13" s="124">
        <v>1175000</v>
      </c>
      <c r="S13" s="123">
        <v>32000</v>
      </c>
      <c r="T13" s="87"/>
      <c r="U13" s="67" t="s">
        <v>664</v>
      </c>
    </row>
    <row r="14" spans="1:21" x14ac:dyDescent="0.25">
      <c r="A14" s="60" t="s">
        <v>59</v>
      </c>
      <c r="B14" s="61" t="s">
        <v>622</v>
      </c>
      <c r="C14" s="131">
        <v>25</v>
      </c>
      <c r="D14" s="80">
        <v>20</v>
      </c>
      <c r="E14" s="117">
        <v>9500000</v>
      </c>
      <c r="F14" s="82">
        <v>0.16999999999999998</v>
      </c>
      <c r="G14" s="83">
        <v>9.9999999999999992E-2</v>
      </c>
      <c r="H14" s="83">
        <v>0.7</v>
      </c>
      <c r="I14" s="83">
        <v>0</v>
      </c>
      <c r="J14" s="84">
        <v>0.03</v>
      </c>
      <c r="K14" s="82">
        <v>0.5</v>
      </c>
      <c r="L14" s="83">
        <v>0.5</v>
      </c>
      <c r="M14" s="83">
        <v>0</v>
      </c>
      <c r="N14" s="83">
        <v>0</v>
      </c>
      <c r="O14" s="114">
        <v>0</v>
      </c>
      <c r="P14" s="122">
        <v>633797</v>
      </c>
      <c r="Q14" s="123">
        <v>523480</v>
      </c>
      <c r="R14" s="124">
        <v>5500000</v>
      </c>
      <c r="S14" s="123">
        <v>0</v>
      </c>
      <c r="T14" s="87"/>
      <c r="U14" s="67" t="s">
        <v>664</v>
      </c>
    </row>
    <row r="15" spans="1:21" x14ac:dyDescent="0.25">
      <c r="A15" s="60" t="s">
        <v>59</v>
      </c>
      <c r="B15" s="61" t="s">
        <v>624</v>
      </c>
      <c r="C15" s="131">
        <v>30</v>
      </c>
      <c r="D15" s="80">
        <v>40</v>
      </c>
      <c r="E15" s="117">
        <v>12000000</v>
      </c>
      <c r="F15" s="82">
        <v>0.12999999999999998</v>
      </c>
      <c r="G15" s="83">
        <v>0</v>
      </c>
      <c r="H15" s="83">
        <v>0.83</v>
      </c>
      <c r="I15" s="83">
        <v>0</v>
      </c>
      <c r="J15" s="84">
        <v>3.9999999999999994E-2</v>
      </c>
      <c r="K15" s="82">
        <v>0.44999999999999996</v>
      </c>
      <c r="L15" s="83">
        <v>0.44999999999999996</v>
      </c>
      <c r="M15" s="83">
        <v>9.9999999999999992E-2</v>
      </c>
      <c r="N15" s="83">
        <v>0</v>
      </c>
      <c r="O15" s="114">
        <v>0</v>
      </c>
      <c r="P15" s="122">
        <v>0</v>
      </c>
      <c r="Q15" s="123">
        <v>85716</v>
      </c>
      <c r="R15" s="124">
        <v>6500000</v>
      </c>
      <c r="S15" s="123">
        <v>3800000</v>
      </c>
      <c r="T15" s="87"/>
      <c r="U15" s="67" t="s">
        <v>666</v>
      </c>
    </row>
    <row r="16" spans="1:21" ht="60.75" thickBot="1" x14ac:dyDescent="0.3">
      <c r="A16" s="60" t="s">
        <v>72</v>
      </c>
      <c r="B16" s="287" t="s">
        <v>626</v>
      </c>
      <c r="C16" s="131"/>
      <c r="D16" s="80"/>
      <c r="E16" s="117"/>
      <c r="F16" s="82"/>
      <c r="G16" s="83"/>
      <c r="H16" s="83"/>
      <c r="I16" s="83"/>
      <c r="J16" s="84"/>
      <c r="K16" s="82"/>
      <c r="L16" s="83"/>
      <c r="M16" s="83"/>
      <c r="N16" s="83"/>
      <c r="O16" s="114"/>
      <c r="P16" s="122"/>
      <c r="Q16" s="123"/>
      <c r="R16" s="124"/>
      <c r="S16" s="123"/>
      <c r="T16" s="87"/>
      <c r="U16" s="69" t="s">
        <v>667</v>
      </c>
    </row>
    <row r="17" spans="1:21" ht="15.75" thickBot="1" x14ac:dyDescent="0.3">
      <c r="A17" s="63" t="s">
        <v>628</v>
      </c>
      <c r="B17" s="64" t="s">
        <v>629</v>
      </c>
      <c r="C17" s="132"/>
      <c r="D17" s="91"/>
      <c r="E17" s="118"/>
      <c r="F17" s="93"/>
      <c r="G17" s="94"/>
      <c r="H17" s="94"/>
      <c r="I17" s="94"/>
      <c r="J17" s="95"/>
      <c r="K17" s="93"/>
      <c r="L17" s="94"/>
      <c r="M17" s="94"/>
      <c r="N17" s="94"/>
      <c r="O17" s="115"/>
      <c r="P17" s="127"/>
      <c r="Q17" s="128"/>
      <c r="R17" s="129"/>
      <c r="S17" s="128"/>
      <c r="T17" s="98"/>
      <c r="U17" s="57" t="s">
        <v>630</v>
      </c>
    </row>
    <row r="18" spans="1:21" ht="16.5" thickBot="1" x14ac:dyDescent="0.3">
      <c r="A18" s="2"/>
      <c r="B18" s="2"/>
      <c r="E18" s="56">
        <f>SUM(E3:E17)</f>
        <v>250043000</v>
      </c>
      <c r="P18" s="1054">
        <f>SUM(P3:Q17)</f>
        <v>4143193</v>
      </c>
      <c r="Q18" s="1055"/>
      <c r="R18" s="1054">
        <f>SUM(R3:S17)</f>
        <v>115774000</v>
      </c>
      <c r="S18" s="1055"/>
    </row>
    <row r="19" spans="1:21" x14ac:dyDescent="0.25">
      <c r="A19" s="2"/>
      <c r="B19" s="2"/>
    </row>
    <row r="20" spans="1:21" x14ac:dyDescent="0.25">
      <c r="A20" s="2"/>
      <c r="B20" s="2"/>
    </row>
    <row r="21" spans="1:21" x14ac:dyDescent="0.25">
      <c r="A21" s="2"/>
      <c r="B21" s="2"/>
    </row>
    <row r="22" spans="1:21" x14ac:dyDescent="0.25">
      <c r="A22" s="2"/>
      <c r="B22" s="2"/>
    </row>
    <row r="23" spans="1:21" x14ac:dyDescent="0.25">
      <c r="A23" s="2"/>
      <c r="B23" s="2"/>
    </row>
    <row r="24" spans="1:21" x14ac:dyDescent="0.25">
      <c r="A24" s="2"/>
      <c r="B24" s="2"/>
    </row>
    <row r="25" spans="1:21" x14ac:dyDescent="0.25">
      <c r="A25" s="2"/>
      <c r="B25" s="2"/>
    </row>
    <row r="26" spans="1:21" x14ac:dyDescent="0.25">
      <c r="A26" s="2"/>
      <c r="B26" s="2"/>
    </row>
  </sheetData>
  <mergeCells count="12">
    <mergeCell ref="P1:Q1"/>
    <mergeCell ref="R1:S1"/>
    <mergeCell ref="T1:T2"/>
    <mergeCell ref="U1:U2"/>
    <mergeCell ref="P18:Q18"/>
    <mergeCell ref="R18:S18"/>
    <mergeCell ref="K1:O1"/>
    <mergeCell ref="A1:B1"/>
    <mergeCell ref="C1:C2"/>
    <mergeCell ref="D1:D2"/>
    <mergeCell ref="E1:E2"/>
    <mergeCell ref="F1:J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7fa2517-dc33-40cb-ac01-ae022ef0d6ed">
      <Terms xmlns="http://schemas.microsoft.com/office/infopath/2007/PartnerControls"/>
    </lcf76f155ced4ddcb4097134ff3c332f>
    <TaxCatchAll xmlns="704649ec-7b41-4946-befd-58fcfe69f4e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4FB978F439EA546A2F3E3DC7450C1F0" ma:contentTypeVersion="13" ma:contentTypeDescription="Crée un document." ma:contentTypeScope="" ma:versionID="3b8f6fd65df407988cd92abbc56ecd2d">
  <xsd:schema xmlns:xsd="http://www.w3.org/2001/XMLSchema" xmlns:xs="http://www.w3.org/2001/XMLSchema" xmlns:p="http://schemas.microsoft.com/office/2006/metadata/properties" xmlns:ns2="704649ec-7b41-4946-befd-58fcfe69f4ec" xmlns:ns3="67fa2517-dc33-40cb-ac01-ae022ef0d6ed" targetNamespace="http://schemas.microsoft.com/office/2006/metadata/properties" ma:root="true" ma:fieldsID="0293d1c732ccd70d49ba744f5007f128" ns2:_="" ns3:_="">
    <xsd:import namespace="704649ec-7b41-4946-befd-58fcfe69f4ec"/>
    <xsd:import namespace="67fa2517-dc33-40cb-ac01-ae022ef0d6e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GenerationTime" minOccurs="0"/>
                <xsd:element ref="ns3:MediaServiceEventHashCode" minOccurs="0"/>
                <xsd:element ref="ns3:MediaServiceOCR"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04649ec-7b41-4946-befd-58fcfe69f4ec" elementFormDefault="qualified">
    <xsd:import namespace="http://schemas.microsoft.com/office/2006/documentManagement/types"/>
    <xsd:import namespace="http://schemas.microsoft.com/office/infopath/2007/PartnerControls"/>
    <xsd:element name="SharedWithUsers" ma:index="8" nillable="true" ma:displayName="Partagé avec"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description="" ma:internalName="SharedWithDetails" ma:readOnly="true">
      <xsd:simpleType>
        <xsd:restriction base="dms:Note">
          <xsd:maxLength value="255"/>
        </xsd:restriction>
      </xsd:simpleType>
    </xsd:element>
    <xsd:element name="TaxCatchAll" ma:index="14" nillable="true" ma:displayName="Taxonomy Catch All Column" ma:hidden="true" ma:list="{cd3e68b2-6cf6-451f-8eb1-a0ebd229304c}" ma:internalName="TaxCatchAll" ma:showField="CatchAllData" ma:web="704649ec-7b41-4946-befd-58fcfe69f4e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7fa2517-dc33-40cb-ac01-ae022ef0d6ed"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Balises d’images" ma:readOnly="false" ma:fieldId="{5cf76f15-5ced-4ddc-b409-7134ff3c332f}" ma:taxonomyMulti="true" ma:sspId="677ebaa6-0b4c-45e6-b8c8-153d055cfec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463D29-7141-4763-BCBC-D352198E67A3}">
  <ds:schemaRefs>
    <ds:schemaRef ds:uri="704649ec-7b41-4946-befd-58fcfe69f4ec"/>
    <ds:schemaRef ds:uri="http://schemas.microsoft.com/office/2006/documentManagement/types"/>
    <ds:schemaRef ds:uri="http://purl.org/dc/elements/1.1/"/>
    <ds:schemaRef ds:uri="http://schemas.microsoft.com/office/2006/metadata/properties"/>
    <ds:schemaRef ds:uri="http://www.w3.org/XML/1998/namespace"/>
    <ds:schemaRef ds:uri="http://schemas.openxmlformats.org/package/2006/metadata/core-properties"/>
    <ds:schemaRef ds:uri="http://purl.org/dc/terms/"/>
    <ds:schemaRef ds:uri="http://schemas.microsoft.com/office/infopath/2007/PartnerControls"/>
    <ds:schemaRef ds:uri="67fa2517-dc33-40cb-ac01-ae022ef0d6ed"/>
    <ds:schemaRef ds:uri="http://purl.org/dc/dcmitype/"/>
  </ds:schemaRefs>
</ds:datastoreItem>
</file>

<file path=customXml/itemProps2.xml><?xml version="1.0" encoding="utf-8"?>
<ds:datastoreItem xmlns:ds="http://schemas.openxmlformats.org/officeDocument/2006/customXml" ds:itemID="{465AB8D7-5CD6-4F07-AEDC-8222F36BDB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04649ec-7b41-4946-befd-58fcfe69f4ec"/>
    <ds:schemaRef ds:uri="67fa2517-dc33-40cb-ac01-ae022ef0d6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A6032F5-291E-4213-BAA3-9D5EC19B51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15</vt:i4>
      </vt:variant>
      <vt:variant>
        <vt:lpstr>Plages nommées</vt:lpstr>
      </vt:variant>
      <vt:variant>
        <vt:i4>4</vt:i4>
      </vt:variant>
    </vt:vector>
  </HeadingPairs>
  <TitlesOfParts>
    <vt:vector size="19" baseType="lpstr">
      <vt:lpstr>RAPRES 2025</vt:lpstr>
      <vt:lpstr>Exemples intallations&lt;=&gt;Catégo.</vt:lpstr>
      <vt:lpstr>Durée d'utilisation</vt:lpstr>
      <vt:lpstr>Classe d'état</vt:lpstr>
      <vt:lpstr>RAPRES 2024</vt:lpstr>
      <vt:lpstr>RAPRES 2023</vt:lpstr>
      <vt:lpstr>RAPRES 2022</vt:lpstr>
      <vt:lpstr>RAPRES 2021</vt:lpstr>
      <vt:lpstr>RAPRES 2020</vt:lpstr>
      <vt:lpstr>RAPRES 2019</vt:lpstr>
      <vt:lpstr>RAPRES 2018</vt:lpstr>
      <vt:lpstr>RAPRES 2017</vt:lpstr>
      <vt:lpstr>RAPRES 2016</vt:lpstr>
      <vt:lpstr>RAPRES 2015</vt:lpstr>
      <vt:lpstr>RAPRES 2014</vt:lpstr>
      <vt:lpstr>'RAPRES 2020'!Impression_des_titres</vt:lpstr>
      <vt:lpstr>'RAPRES 2021'!Impression_des_titres</vt:lpstr>
      <vt:lpstr>'RAPRES 2020'!Zone_d_impression</vt:lpstr>
      <vt:lpstr>'RAPRES 2021'!Zone_d_impression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MUÑIZ Oscar</dc:creator>
  <cp:keywords/>
  <dc:description/>
  <cp:lastModifiedBy>FRANGEUL Yaëlle</cp:lastModifiedBy>
  <cp:revision/>
  <dcterms:created xsi:type="dcterms:W3CDTF">2020-03-17T18:04:41Z</dcterms:created>
  <dcterms:modified xsi:type="dcterms:W3CDTF">2026-05-04T13:29:41Z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0x01010064FB978F439EA546A2F3E3DC7450C1F0</vt:lpwstr>
  </property>
  <property fmtid="{D5CDD505-2E9C-101B-9397-08002B2CF9AE}" pid="3" name="MediaServiceImageTags">
    <vt:lpwstr/>
  </property>
</Properties>
</file>